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New folder (5)\"/>
    </mc:Choice>
  </mc:AlternateContent>
  <bookViews>
    <workbookView xWindow="0" yWindow="0" windowWidth="20490" windowHeight="7650"/>
  </bookViews>
  <sheets>
    <sheet name="حقوق سالیانه" sheetId="1" r:id="rId1"/>
    <sheet name="ساعت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1" l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30" i="1"/>
  <c r="W31" i="1"/>
  <c r="W32" i="1"/>
  <c r="W34" i="1"/>
  <c r="W36" i="1"/>
  <c r="W37" i="1"/>
  <c r="W38" i="1"/>
  <c r="W4" i="1"/>
  <c r="V6" i="1"/>
  <c r="V10" i="1"/>
  <c r="V8" i="1"/>
  <c r="V7" i="1"/>
  <c r="V18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30" i="1"/>
  <c r="T31" i="1"/>
  <c r="T32" i="1"/>
  <c r="T34" i="1"/>
  <c r="T36" i="1"/>
  <c r="T37" i="1"/>
  <c r="T38" i="1"/>
  <c r="T4" i="1"/>
  <c r="S6" i="1"/>
  <c r="S10" i="1"/>
  <c r="S8" i="1"/>
  <c r="S7" i="1"/>
  <c r="S18" i="1"/>
  <c r="Q6" i="1"/>
  <c r="Q7" i="1"/>
  <c r="Q9" i="1"/>
  <c r="Q10" i="1"/>
  <c r="V24" i="1" l="1"/>
  <c r="V20" i="1"/>
  <c r="V19" i="1"/>
  <c r="V11" i="1"/>
  <c r="V15" i="1"/>
  <c r="V12" i="1"/>
  <c r="V4" i="1"/>
  <c r="V13" i="1"/>
  <c r="V17" i="1"/>
  <c r="V5" i="1"/>
  <c r="V14" i="1"/>
  <c r="S20" i="1"/>
  <c r="S24" i="1"/>
  <c r="S19" i="1"/>
  <c r="S11" i="1"/>
  <c r="S12" i="1"/>
  <c r="S4" i="1"/>
  <c r="S13" i="1"/>
  <c r="S17" i="1"/>
  <c r="S15" i="1"/>
  <c r="S5" i="1"/>
  <c r="S14" i="1"/>
  <c r="P6" i="1"/>
  <c r="P4" i="1"/>
  <c r="P7" i="1"/>
  <c r="P8" i="1"/>
  <c r="P10" i="1"/>
  <c r="P12" i="1"/>
  <c r="M10" i="1"/>
  <c r="J10" i="1"/>
  <c r="M7" i="1"/>
  <c r="N7" i="1" s="1"/>
  <c r="J7" i="1"/>
  <c r="K7" i="1" s="1"/>
  <c r="G10" i="1"/>
  <c r="G7" i="1"/>
  <c r="N6" i="1"/>
  <c r="N9" i="1"/>
  <c r="N10" i="1"/>
  <c r="M6" i="1"/>
  <c r="M4" i="1" s="1"/>
  <c r="M8" i="1"/>
  <c r="K6" i="1"/>
  <c r="K9" i="1"/>
  <c r="K10" i="1"/>
  <c r="J6" i="1"/>
  <c r="J4" i="1" s="1"/>
  <c r="J5" i="1"/>
  <c r="J8" i="1"/>
  <c r="J11" i="1"/>
  <c r="J12" i="1"/>
  <c r="J13" i="1"/>
  <c r="J14" i="1"/>
  <c r="J15" i="1"/>
  <c r="J17" i="1"/>
  <c r="J18" i="1"/>
  <c r="J19" i="1" s="1"/>
  <c r="J24" i="1"/>
  <c r="G6" i="1"/>
  <c r="H7" i="1"/>
  <c r="H9" i="1"/>
  <c r="H10" i="1"/>
  <c r="U6" i="1"/>
  <c r="R6" i="1"/>
  <c r="O6" i="1"/>
  <c r="L6" i="1"/>
  <c r="I6" i="1"/>
  <c r="F6" i="1"/>
  <c r="C6" i="1"/>
  <c r="G8" i="1"/>
  <c r="V31" i="1" l="1"/>
  <c r="V22" i="1"/>
  <c r="V30" i="1"/>
  <c r="V25" i="1"/>
  <c r="V21" i="1"/>
  <c r="V34" i="1"/>
  <c r="V16" i="1"/>
  <c r="V23" i="1"/>
  <c r="S31" i="1"/>
  <c r="S22" i="1"/>
  <c r="S30" i="1"/>
  <c r="S32" i="1" s="1"/>
  <c r="S25" i="1"/>
  <c r="S21" i="1"/>
  <c r="S34" i="1"/>
  <c r="S16" i="1"/>
  <c r="S23" i="1"/>
  <c r="P21" i="1"/>
  <c r="P25" i="1"/>
  <c r="P22" i="1"/>
  <c r="P31" i="1"/>
  <c r="P16" i="1"/>
  <c r="P23" i="1"/>
  <c r="P34" i="1"/>
  <c r="P15" i="1"/>
  <c r="P11" i="1"/>
  <c r="P18" i="1"/>
  <c r="P14" i="1"/>
  <c r="P5" i="1"/>
  <c r="P17" i="1"/>
  <c r="P13" i="1"/>
  <c r="M14" i="1"/>
  <c r="M13" i="1"/>
  <c r="M18" i="1"/>
  <c r="M19" i="1" s="1"/>
  <c r="M17" i="1"/>
  <c r="M30" i="1" s="1"/>
  <c r="M23" i="1"/>
  <c r="M16" i="1"/>
  <c r="M34" i="1"/>
  <c r="M21" i="1"/>
  <c r="M25" i="1"/>
  <c r="M31" i="1"/>
  <c r="M22" i="1"/>
  <c r="M20" i="1"/>
  <c r="M12" i="1"/>
  <c r="M5" i="1"/>
  <c r="M15" i="1"/>
  <c r="M11" i="1"/>
  <c r="J21" i="1"/>
  <c r="J34" i="1"/>
  <c r="J36" i="1" s="1"/>
  <c r="J23" i="1"/>
  <c r="J16" i="1"/>
  <c r="J20" i="1"/>
  <c r="J38" i="1"/>
  <c r="J37" i="1"/>
  <c r="J31" i="1"/>
  <c r="J22" i="1"/>
  <c r="J30" i="1"/>
  <c r="J25" i="1"/>
  <c r="H6" i="1"/>
  <c r="G4" i="1"/>
  <c r="G11" i="1"/>
  <c r="G15" i="1"/>
  <c r="G5" i="1"/>
  <c r="G12" i="1"/>
  <c r="G13" i="1"/>
  <c r="G17" i="1"/>
  <c r="G14" i="1"/>
  <c r="G18" i="1"/>
  <c r="E7" i="1"/>
  <c r="E9" i="1"/>
  <c r="E10" i="1"/>
  <c r="D8" i="1"/>
  <c r="D15" i="1"/>
  <c r="D18" i="1"/>
  <c r="D20" i="1" s="1"/>
  <c r="D4" i="1"/>
  <c r="D16" i="1" s="1"/>
  <c r="D6" i="1"/>
  <c r="D12" i="1" s="1"/>
  <c r="U8" i="1"/>
  <c r="R8" i="1"/>
  <c r="V26" i="1" l="1"/>
  <c r="V28" i="1"/>
  <c r="V27" i="1"/>
  <c r="V32" i="1"/>
  <c r="V37" i="1"/>
  <c r="V36" i="1"/>
  <c r="V38" i="1"/>
  <c r="S26" i="1"/>
  <c r="S28" i="1"/>
  <c r="S27" i="1"/>
  <c r="S37" i="1"/>
  <c r="S36" i="1"/>
  <c r="S38" i="1"/>
  <c r="P30" i="1"/>
  <c r="P32" i="1" s="1"/>
  <c r="P24" i="1"/>
  <c r="P19" i="1"/>
  <c r="P20" i="1"/>
  <c r="P36" i="1"/>
  <c r="P37" i="1"/>
  <c r="P38" i="1"/>
  <c r="P26" i="1"/>
  <c r="P27" i="1"/>
  <c r="P28" i="1"/>
  <c r="M24" i="1"/>
  <c r="M38" i="1"/>
  <c r="M36" i="1"/>
  <c r="M37" i="1"/>
  <c r="M32" i="1"/>
  <c r="M27" i="1"/>
  <c r="M28" i="1"/>
  <c r="M26" i="1"/>
  <c r="J32" i="1"/>
  <c r="J26" i="1"/>
  <c r="J27" i="1"/>
  <c r="J28" i="1"/>
  <c r="D31" i="1"/>
  <c r="D23" i="1"/>
  <c r="D14" i="1"/>
  <c r="D5" i="1"/>
  <c r="D19" i="1"/>
  <c r="D11" i="1"/>
  <c r="D25" i="1"/>
  <c r="D26" i="1" s="1"/>
  <c r="D21" i="1"/>
  <c r="D17" i="1"/>
  <c r="D30" i="1" s="1"/>
  <c r="D32" i="1" s="1"/>
  <c r="D13" i="1"/>
  <c r="E6" i="1"/>
  <c r="D22" i="1"/>
  <c r="D34" i="1"/>
  <c r="D24" i="1"/>
  <c r="G19" i="1"/>
  <c r="G20" i="1"/>
  <c r="G24" i="1"/>
  <c r="G23" i="1"/>
  <c r="G16" i="1"/>
  <c r="G34" i="1"/>
  <c r="G21" i="1"/>
  <c r="G25" i="1"/>
  <c r="G30" i="1"/>
  <c r="G22" i="1"/>
  <c r="G31" i="1"/>
  <c r="D27" i="1"/>
  <c r="U4" i="1"/>
  <c r="U11" i="1"/>
  <c r="U15" i="1"/>
  <c r="U5" i="1"/>
  <c r="U12" i="1"/>
  <c r="U13" i="1"/>
  <c r="U17" i="1"/>
  <c r="U14" i="1"/>
  <c r="U18" i="1"/>
  <c r="R4" i="1"/>
  <c r="R11" i="1"/>
  <c r="R15" i="1"/>
  <c r="R5" i="1"/>
  <c r="R12" i="1"/>
  <c r="R13" i="1"/>
  <c r="R17" i="1"/>
  <c r="R14" i="1"/>
  <c r="R18" i="1"/>
  <c r="D28" i="1" l="1"/>
  <c r="D37" i="1"/>
  <c r="D36" i="1"/>
  <c r="D38" i="1"/>
  <c r="G27" i="1"/>
  <c r="G28" i="1"/>
  <c r="G26" i="1"/>
  <c r="G38" i="1"/>
  <c r="G36" i="1"/>
  <c r="G37" i="1"/>
  <c r="G32" i="1"/>
  <c r="U19" i="1"/>
  <c r="U20" i="1"/>
  <c r="U24" i="1"/>
  <c r="U23" i="1"/>
  <c r="U22" i="1"/>
  <c r="U31" i="1"/>
  <c r="U16" i="1"/>
  <c r="U34" i="1"/>
  <c r="U21" i="1"/>
  <c r="U25" i="1"/>
  <c r="U30" i="1"/>
  <c r="R19" i="1"/>
  <c r="R20" i="1"/>
  <c r="R24" i="1"/>
  <c r="R23" i="1"/>
  <c r="R16" i="1"/>
  <c r="R34" i="1"/>
  <c r="R21" i="1"/>
  <c r="R25" i="1"/>
  <c r="R30" i="1"/>
  <c r="R22" i="1"/>
  <c r="R31" i="1"/>
  <c r="U32" i="1" l="1"/>
  <c r="U38" i="1"/>
  <c r="U36" i="1"/>
  <c r="U37" i="1"/>
  <c r="U27" i="1"/>
  <c r="U28" i="1"/>
  <c r="U26" i="1"/>
  <c r="R27" i="1"/>
  <c r="R28" i="1"/>
  <c r="R26" i="1"/>
  <c r="R38" i="1"/>
  <c r="R36" i="1"/>
  <c r="R37" i="1"/>
  <c r="R32" i="1"/>
  <c r="I4" i="1" l="1"/>
  <c r="K4" i="1" s="1"/>
  <c r="L5" i="1"/>
  <c r="N5" i="1" s="1"/>
  <c r="I8" i="1"/>
  <c r="K8" i="1" s="1"/>
  <c r="L8" i="1"/>
  <c r="N8" i="1" s="1"/>
  <c r="O8" i="1"/>
  <c r="Q8" i="1" s="1"/>
  <c r="I12" i="1"/>
  <c r="K12" i="1" s="1"/>
  <c r="I5" i="1" l="1"/>
  <c r="K5" i="1" s="1"/>
  <c r="O13" i="1"/>
  <c r="Q13" i="1" s="1"/>
  <c r="O17" i="1"/>
  <c r="Q17" i="1" s="1"/>
  <c r="O12" i="1"/>
  <c r="Q12" i="1" s="1"/>
  <c r="O4" i="1"/>
  <c r="Q4" i="1" s="1"/>
  <c r="O14" i="1"/>
  <c r="Q14" i="1" s="1"/>
  <c r="O18" i="1"/>
  <c r="Q18" i="1" s="1"/>
  <c r="O5" i="1"/>
  <c r="Q5" i="1" s="1"/>
  <c r="O11" i="1"/>
  <c r="Q11" i="1" s="1"/>
  <c r="O15" i="1"/>
  <c r="Q15" i="1" s="1"/>
  <c r="I23" i="1"/>
  <c r="K23" i="1" s="1"/>
  <c r="I22" i="1"/>
  <c r="K22" i="1" s="1"/>
  <c r="I25" i="1"/>
  <c r="K25" i="1" s="1"/>
  <c r="I16" i="1"/>
  <c r="K16" i="1" s="1"/>
  <c r="I34" i="1"/>
  <c r="K34" i="1" s="1"/>
  <c r="I31" i="1"/>
  <c r="K31" i="1" s="1"/>
  <c r="I21" i="1"/>
  <c r="K21" i="1" s="1"/>
  <c r="L18" i="1"/>
  <c r="N18" i="1" s="1"/>
  <c r="I17" i="1"/>
  <c r="K17" i="1" s="1"/>
  <c r="L14" i="1"/>
  <c r="N14" i="1" s="1"/>
  <c r="I13" i="1"/>
  <c r="K13" i="1" s="1"/>
  <c r="I18" i="1"/>
  <c r="K18" i="1" s="1"/>
  <c r="L4" i="1"/>
  <c r="N4" i="1" s="1"/>
  <c r="L17" i="1"/>
  <c r="N17" i="1" s="1"/>
  <c r="L13" i="1"/>
  <c r="N13" i="1" s="1"/>
  <c r="L15" i="1"/>
  <c r="N15" i="1" s="1"/>
  <c r="I14" i="1"/>
  <c r="K14" i="1" s="1"/>
  <c r="L11" i="1"/>
  <c r="N11" i="1" s="1"/>
  <c r="I15" i="1"/>
  <c r="K15" i="1" s="1"/>
  <c r="L12" i="1"/>
  <c r="N12" i="1" s="1"/>
  <c r="I11" i="1"/>
  <c r="K11" i="1" s="1"/>
  <c r="F8" i="1"/>
  <c r="H8" i="1" s="1"/>
  <c r="C8" i="1"/>
  <c r="E8" i="1" s="1"/>
  <c r="I30" i="1" l="1"/>
  <c r="I27" i="1"/>
  <c r="K27" i="1" s="1"/>
  <c r="I26" i="1"/>
  <c r="K26" i="1" s="1"/>
  <c r="I28" i="1"/>
  <c r="K28" i="1" s="1"/>
  <c r="O21" i="1"/>
  <c r="Q21" i="1" s="1"/>
  <c r="O25" i="1"/>
  <c r="Q25" i="1" s="1"/>
  <c r="O30" i="1"/>
  <c r="Q30" i="1" s="1"/>
  <c r="O16" i="1"/>
  <c r="Q16" i="1" s="1"/>
  <c r="O34" i="1"/>
  <c r="Q34" i="1" s="1"/>
  <c r="O22" i="1"/>
  <c r="Q22" i="1" s="1"/>
  <c r="O23" i="1"/>
  <c r="Q23" i="1" s="1"/>
  <c r="O31" i="1"/>
  <c r="Q31" i="1" s="1"/>
  <c r="L16" i="1"/>
  <c r="N16" i="1" s="1"/>
  <c r="L34" i="1"/>
  <c r="N34" i="1" s="1"/>
  <c r="L23" i="1"/>
  <c r="N23" i="1" s="1"/>
  <c r="L21" i="1"/>
  <c r="N21" i="1" s="1"/>
  <c r="L25" i="1"/>
  <c r="N25" i="1" s="1"/>
  <c r="L30" i="1"/>
  <c r="N30" i="1" s="1"/>
  <c r="L22" i="1"/>
  <c r="N22" i="1" s="1"/>
  <c r="L31" i="1"/>
  <c r="N31" i="1" s="1"/>
  <c r="I37" i="1"/>
  <c r="K37" i="1" s="1"/>
  <c r="I36" i="1"/>
  <c r="K36" i="1" s="1"/>
  <c r="I38" i="1"/>
  <c r="K38" i="1" s="1"/>
  <c r="I19" i="1"/>
  <c r="K19" i="1" s="1"/>
  <c r="I20" i="1"/>
  <c r="K20" i="1" s="1"/>
  <c r="I24" i="1"/>
  <c r="K24" i="1" s="1"/>
  <c r="L20" i="1"/>
  <c r="N20" i="1" s="1"/>
  <c r="L24" i="1"/>
  <c r="N24" i="1" s="1"/>
  <c r="L19" i="1"/>
  <c r="N19" i="1" s="1"/>
  <c r="O20" i="1"/>
  <c r="Q20" i="1" s="1"/>
  <c r="O24" i="1"/>
  <c r="Q24" i="1" s="1"/>
  <c r="O19" i="1"/>
  <c r="Q19" i="1" s="1"/>
  <c r="F4" i="1"/>
  <c r="H4" i="1" s="1"/>
  <c r="F11" i="1"/>
  <c r="H11" i="1" s="1"/>
  <c r="F15" i="1"/>
  <c r="H15" i="1" s="1"/>
  <c r="F12" i="1"/>
  <c r="H12" i="1" s="1"/>
  <c r="F13" i="1"/>
  <c r="H13" i="1" s="1"/>
  <c r="F17" i="1"/>
  <c r="H17" i="1" s="1"/>
  <c r="F5" i="1"/>
  <c r="H5" i="1" s="1"/>
  <c r="F14" i="1"/>
  <c r="H14" i="1" s="1"/>
  <c r="F18" i="1"/>
  <c r="H18" i="1" s="1"/>
  <c r="C5" i="1"/>
  <c r="E5" i="1" s="1"/>
  <c r="C12" i="1"/>
  <c r="E12" i="1" s="1"/>
  <c r="C13" i="1"/>
  <c r="E13" i="1" s="1"/>
  <c r="C17" i="1"/>
  <c r="E17" i="1" s="1"/>
  <c r="C14" i="1"/>
  <c r="E14" i="1" s="1"/>
  <c r="C18" i="1"/>
  <c r="E18" i="1" s="1"/>
  <c r="C11" i="1"/>
  <c r="E11" i="1" s="1"/>
  <c r="C15" i="1"/>
  <c r="E15" i="1" s="1"/>
  <c r="I32" i="1" l="1"/>
  <c r="K32" i="1" s="1"/>
  <c r="K30" i="1"/>
  <c r="L28" i="1"/>
  <c r="N28" i="1" s="1"/>
  <c r="L27" i="1"/>
  <c r="N27" i="1" s="1"/>
  <c r="L26" i="1"/>
  <c r="N26" i="1" s="1"/>
  <c r="O38" i="1"/>
  <c r="Q38" i="1" s="1"/>
  <c r="O37" i="1"/>
  <c r="Q37" i="1" s="1"/>
  <c r="O36" i="1"/>
  <c r="Q36" i="1" s="1"/>
  <c r="O32" i="1"/>
  <c r="Q32" i="1" s="1"/>
  <c r="L32" i="1"/>
  <c r="N32" i="1" s="1"/>
  <c r="L38" i="1"/>
  <c r="N38" i="1" s="1"/>
  <c r="L37" i="1"/>
  <c r="N37" i="1" s="1"/>
  <c r="L36" i="1"/>
  <c r="N36" i="1" s="1"/>
  <c r="O28" i="1"/>
  <c r="Q28" i="1" s="1"/>
  <c r="O26" i="1"/>
  <c r="Q26" i="1" s="1"/>
  <c r="O27" i="1"/>
  <c r="Q27" i="1" s="1"/>
  <c r="F19" i="1"/>
  <c r="H19" i="1" s="1"/>
  <c r="F20" i="1"/>
  <c r="H20" i="1" s="1"/>
  <c r="F24" i="1"/>
  <c r="H24" i="1" s="1"/>
  <c r="F23" i="1"/>
  <c r="H23" i="1" s="1"/>
  <c r="F16" i="1"/>
  <c r="H16" i="1" s="1"/>
  <c r="F34" i="1"/>
  <c r="H34" i="1" s="1"/>
  <c r="F21" i="1"/>
  <c r="H21" i="1" s="1"/>
  <c r="F25" i="1"/>
  <c r="H25" i="1" s="1"/>
  <c r="F30" i="1"/>
  <c r="H30" i="1" s="1"/>
  <c r="F22" i="1"/>
  <c r="H22" i="1" s="1"/>
  <c r="F31" i="1"/>
  <c r="H31" i="1" s="1"/>
  <c r="C20" i="1"/>
  <c r="E20" i="1" s="1"/>
  <c r="C24" i="1"/>
  <c r="E24" i="1" s="1"/>
  <c r="C19" i="1"/>
  <c r="E19" i="1" s="1"/>
  <c r="F37" i="1" l="1"/>
  <c r="H37" i="1" s="1"/>
  <c r="F38" i="1"/>
  <c r="H38" i="1" s="1"/>
  <c r="F36" i="1"/>
  <c r="H36" i="1" s="1"/>
  <c r="F27" i="1"/>
  <c r="H27" i="1" s="1"/>
  <c r="F28" i="1"/>
  <c r="H28" i="1" s="1"/>
  <c r="F26" i="1"/>
  <c r="H26" i="1" s="1"/>
  <c r="F32" i="1"/>
  <c r="H32" i="1" s="1"/>
  <c r="C4" i="1" l="1"/>
  <c r="E4" i="1" s="1"/>
  <c r="C16" i="1" l="1"/>
  <c r="E16" i="1" s="1"/>
  <c r="C34" i="1"/>
  <c r="E34" i="1" s="1"/>
  <c r="C21" i="1"/>
  <c r="E21" i="1" s="1"/>
  <c r="C25" i="1"/>
  <c r="E25" i="1" s="1"/>
  <c r="C30" i="1"/>
  <c r="E30" i="1" s="1"/>
  <c r="C22" i="1"/>
  <c r="E22" i="1" s="1"/>
  <c r="C31" i="1"/>
  <c r="E31" i="1" s="1"/>
  <c r="C23" i="1"/>
  <c r="E23" i="1" s="1"/>
  <c r="C28" i="1" l="1"/>
  <c r="E28" i="1" s="1"/>
  <c r="C26" i="1"/>
  <c r="E26" i="1" s="1"/>
  <c r="C27" i="1"/>
  <c r="E27" i="1" s="1"/>
  <c r="C38" i="1"/>
  <c r="E38" i="1" s="1"/>
  <c r="C36" i="1"/>
  <c r="E36" i="1" s="1"/>
  <c r="C37" i="1"/>
  <c r="E37" i="1" s="1"/>
  <c r="C11" i="2"/>
  <c r="C32" i="1"/>
  <c r="E32" i="1" s="1"/>
  <c r="C4" i="2"/>
  <c r="C3" i="2"/>
  <c r="C2" i="2" l="1"/>
  <c r="C9" i="2"/>
  <c r="C14" i="2" l="1"/>
  <c r="C13" i="2"/>
  <c r="C5" i="2"/>
  <c r="C6" i="2" s="1"/>
  <c r="C12" i="2"/>
  <c r="C8" i="2"/>
  <c r="C10" i="2"/>
  <c r="C7" i="2" l="1"/>
  <c r="C16" i="2"/>
  <c r="C17" i="2" s="1"/>
</calcChain>
</file>

<file path=xl/comments1.xml><?xml version="1.0" encoding="utf-8"?>
<comments xmlns="http://schemas.openxmlformats.org/spreadsheetml/2006/main">
  <authors>
    <author>Admin</author>
  </authors>
  <commentList>
    <comment ref="C7" authorId="0" shapeId="0">
      <text>
        <r>
          <rPr>
            <b/>
            <sz val="9"/>
            <color indexed="81"/>
            <rFont val="Tahoma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</rPr>
          <t xml:space="preserve">
</t>
        </r>
      </text>
    </comment>
    <comment ref="C8" authorId="0" shapeId="0">
      <text>
        <r>
          <rPr>
            <sz val="9"/>
            <color indexed="81"/>
            <rFont val="Tahoma"/>
          </rPr>
          <t>نرخ پایه سنوات در سال 1401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11" authorId="0" shapeId="0">
      <text>
        <r>
          <rPr>
            <b/>
            <sz val="9"/>
            <color indexed="81"/>
            <rFont val="Tahoma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<sst xmlns="http://schemas.openxmlformats.org/spreadsheetml/2006/main" count="67" uniqueCount="59">
  <si>
    <t>ردیف</t>
  </si>
  <si>
    <t>عنوان</t>
  </si>
  <si>
    <t>مبلغ</t>
  </si>
  <si>
    <t>حقوق ماهیانه 30 روزه</t>
  </si>
  <si>
    <t>حقوق ماهیانه 31 روزه</t>
  </si>
  <si>
    <t>حق مسکن ماهیانه</t>
  </si>
  <si>
    <t xml:space="preserve">حق اولاد برای هر فرزند زیر 18 سال (یک فرزند) </t>
  </si>
  <si>
    <t xml:space="preserve">حق اولاد برای هر فرزند زیر 18 سال (دو فرزند) </t>
  </si>
  <si>
    <t xml:space="preserve">حق اولاد برای هر فرزند زیر 18 سال (سه فرزند) 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</si>
  <si>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</si>
  <si>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</si>
  <si>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</si>
  <si>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</si>
  <si>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</si>
  <si>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</si>
  <si>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</si>
  <si>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</si>
  <si>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</si>
  <si>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</si>
  <si>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</si>
  <si>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</si>
  <si>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</si>
  <si>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</si>
  <si>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</si>
  <si>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</si>
  <si>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حداقل پرداخت به ازای هر ساعت کار در قرارداد ساعتی</t>
  </si>
  <si>
    <t>پرداخت به ازای هر روز کاری در قرارداد ساعتی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</si>
  <si>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</si>
  <si>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</si>
  <si>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</si>
  <si>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</si>
  <si>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</si>
  <si>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</si>
  <si>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</si>
  <si>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</si>
  <si>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</si>
  <si>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مجموع دریافتی کارگر مجرد  برای ماه 30 روزه </t>
  </si>
  <si>
    <t>پایه سنوات ماهیانه 30 روزه</t>
  </si>
  <si>
    <t xml:space="preserve">حداقل هزینه حقوق </t>
  </si>
  <si>
    <t>حداقل حقوق پرداختی با احتساب سنوات و عیدی ماهیانه</t>
  </si>
  <si>
    <t>مزد روزانه</t>
  </si>
  <si>
    <t>عیدی پاداش معادل 60 روز حقوق برای هر سال</t>
  </si>
  <si>
    <t>عیدی پاداش  معادل 5 روز حقوق برای هر ماه</t>
  </si>
  <si>
    <t>مجموع دریافتی کارگر  برای ماه 30 روزه + با یک فرزند</t>
  </si>
  <si>
    <t>مجموع دریافتی کارگر  برای ماه 30 روزه + با دو فرزند</t>
  </si>
  <si>
    <t>مجموع دریافتی کارگر  برای ماه 30 روزه + با سه فرزند</t>
  </si>
  <si>
    <t>فوق العاده شب کاری (بدون سابقه کار) 35% مزد ساعتی بابت هر ساعت</t>
  </si>
  <si>
    <t>فوق العاده اضافه کاری (بدون سابقه کار) 1.4 برابر مزد عادی هر ساعت</t>
  </si>
  <si>
    <t>بن کارگری ماهیانه (حق خوار و بار )</t>
  </si>
  <si>
    <t>پایه سنوات به ازای هر روز در ازای یکسال کار در کارگاه</t>
  </si>
  <si>
    <t>یکسال سابقه</t>
  </si>
  <si>
    <t>دو سال سابقه</t>
  </si>
  <si>
    <t>جدول حقوق و مزایای سایر سطوح کارگری در سال 1402</t>
  </si>
  <si>
    <t>سه سال سابقه</t>
  </si>
  <si>
    <t>چهارسال سابقه</t>
  </si>
  <si>
    <t>پنج سال سابقه</t>
  </si>
  <si>
    <t>شش سال سابقه</t>
  </si>
  <si>
    <t>هفت سال سابقه</t>
  </si>
  <si>
    <t>افزایش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</si>
</sst>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_-[$ريال-429]_ ;_ * #,##0\-[$ريال-429]_ ;_ * &quot;-&quot;??_-[$ريال-429]_ ;_ @_ 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b/>
      <sz val="12"/>
      <color theme="1"/>
      <name val="B Nazanin"/>
      <charset val="178"/>
    </font>
    <font>
      <sz val="9"/>
      <color indexed="81"/>
      <name val="Tahoma"/>
    </font>
    <font>
      <b/>
      <sz val="9"/>
      <color indexed="81"/>
      <name val="Tahoma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165" fontId="2" fillId="0" borderId="0" xfId="1" applyNumberFormat="1" applyFont="1" applyAlignment="1"/>
    <xf numFmtId="0" fontId="3" fillId="2" borderId="0" xfId="0" applyFont="1" applyFill="1"/>
    <xf numFmtId="0" fontId="3" fillId="3" borderId="0" xfId="0" applyFont="1" applyFill="1"/>
    <xf numFmtId="165" fontId="3" fillId="3" borderId="0" xfId="1" applyNumberFormat="1" applyFont="1" applyFill="1" applyAlignment="1"/>
    <xf numFmtId="0" fontId="4" fillId="0" borderId="0" xfId="0" applyFont="1"/>
    <xf numFmtId="165" fontId="3" fillId="0" borderId="0" xfId="1" applyNumberFormat="1" applyFont="1" applyFill="1" applyAlignment="1"/>
    <xf numFmtId="0" fontId="0" fillId="0" borderId="0" xfId="0" applyFill="1"/>
    <xf numFmtId="0" fontId="2" fillId="3" borderId="0" xfId="0" applyFont="1" applyFill="1"/>
    <xf numFmtId="0" fontId="5" fillId="0" borderId="0" xfId="0" applyFont="1"/>
    <xf numFmtId="0" fontId="2" fillId="4" borderId="0" xfId="0" applyFont="1" applyFill="1"/>
    <xf numFmtId="0" fontId="2" fillId="2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0" borderId="1" xfId="0" applyFont="1" applyBorder="1"/>
    <xf numFmtId="165" fontId="2" fillId="0" borderId="2" xfId="1" applyNumberFormat="1" applyFont="1" applyBorder="1" applyAlignment="1"/>
    <xf numFmtId="0" fontId="2" fillId="0" borderId="3" xfId="0" applyFont="1" applyBorder="1"/>
    <xf numFmtId="165" fontId="2" fillId="0" borderId="4" xfId="1" applyNumberFormat="1" applyFont="1" applyBorder="1" applyAlignment="1"/>
    <xf numFmtId="165" fontId="2" fillId="0" borderId="4" xfId="0" applyNumberFormat="1" applyFont="1" applyBorder="1"/>
    <xf numFmtId="0" fontId="2" fillId="0" borderId="5" xfId="0" applyFont="1" applyBorder="1"/>
    <xf numFmtId="165" fontId="2" fillId="0" borderId="6" xfId="0" applyNumberFormat="1" applyFont="1" applyBorder="1"/>
    <xf numFmtId="165" fontId="2" fillId="0" borderId="6" xfId="1" applyNumberFormat="1" applyFont="1" applyBorder="1" applyAlignment="1"/>
    <xf numFmtId="0" fontId="3" fillId="0" borderId="0" xfId="0" applyFont="1"/>
    <xf numFmtId="0" fontId="2" fillId="0" borderId="0" xfId="1" applyNumberFormat="1" applyFont="1" applyAlignment="1"/>
    <xf numFmtId="0" fontId="4" fillId="0" borderId="3" xfId="0" applyFont="1" applyBorder="1"/>
    <xf numFmtId="0" fontId="4" fillId="0" borderId="0" xfId="0" applyFont="1" applyBorder="1"/>
    <xf numFmtId="165" fontId="4" fillId="0" borderId="4" xfId="1" applyNumberFormat="1" applyFont="1" applyBorder="1" applyAlignment="1"/>
    <xf numFmtId="165" fontId="2" fillId="0" borderId="3" xfId="1" applyNumberFormat="1" applyFont="1" applyBorder="1" applyAlignment="1"/>
    <xf numFmtId="165" fontId="2" fillId="0" borderId="0" xfId="1" applyNumberFormat="1" applyFont="1" applyBorder="1" applyAlignment="1"/>
    <xf numFmtId="9" fontId="2" fillId="0" borderId="4" xfId="2" applyFont="1" applyBorder="1" applyAlignment="1"/>
    <xf numFmtId="165" fontId="3" fillId="2" borderId="3" xfId="1" applyNumberFormat="1" applyFont="1" applyFill="1" applyBorder="1" applyAlignment="1"/>
    <xf numFmtId="165" fontId="3" fillId="2" borderId="0" xfId="1" applyNumberFormat="1" applyFont="1" applyFill="1" applyBorder="1" applyAlignment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2" fillId="6" borderId="3" xfId="1" applyNumberFormat="1" applyFont="1" applyFill="1" applyBorder="1" applyAlignment="1"/>
    <xf numFmtId="165" fontId="2" fillId="6" borderId="0" xfId="1" applyNumberFormat="1" applyFont="1" applyFill="1" applyBorder="1" applyAlignment="1"/>
    <xf numFmtId="165" fontId="3" fillId="3" borderId="3" xfId="1" applyNumberFormat="1" applyFont="1" applyFill="1" applyBorder="1" applyAlignment="1"/>
    <xf numFmtId="165" fontId="3" fillId="3" borderId="0" xfId="1" applyNumberFormat="1" applyFont="1" applyFill="1" applyBorder="1" applyAlignment="1"/>
    <xf numFmtId="165" fontId="2" fillId="5" borderId="3" xfId="1" applyNumberFormat="1" applyFont="1" applyFill="1" applyBorder="1" applyAlignment="1"/>
    <xf numFmtId="165" fontId="2" fillId="5" borderId="0" xfId="1" applyNumberFormat="1" applyFont="1" applyFill="1" applyBorder="1" applyAlignment="1"/>
    <xf numFmtId="165" fontId="2" fillId="0" borderId="8" xfId="1" applyNumberFormat="1" applyFont="1" applyBorder="1" applyAlignment="1"/>
    <xf numFmtId="165" fontId="2" fillId="0" borderId="9" xfId="1" applyNumberFormat="1" applyFont="1" applyBorder="1" applyAlignment="1"/>
    <xf numFmtId="165" fontId="2" fillId="0" borderId="10" xfId="1" applyNumberFormat="1" applyFont="1" applyBorder="1" applyAlignment="1"/>
    <xf numFmtId="165" fontId="2" fillId="0" borderId="9" xfId="0" applyNumberFormat="1" applyFont="1" applyBorder="1"/>
    <xf numFmtId="165" fontId="2" fillId="0" borderId="10" xfId="0" applyNumberFormat="1" applyFont="1" applyBorder="1"/>
    <xf numFmtId="0" fontId="4" fillId="0" borderId="4" xfId="0" applyFont="1" applyBorder="1"/>
    <xf numFmtId="0" fontId="2" fillId="2" borderId="1" xfId="0" applyFont="1" applyFill="1" applyBorder="1"/>
    <xf numFmtId="165" fontId="2" fillId="2" borderId="8" xfId="0" applyNumberFormat="1" applyFont="1" applyFill="1" applyBorder="1"/>
    <xf numFmtId="165" fontId="2" fillId="2" borderId="2" xfId="0" applyNumberFormat="1" applyFont="1" applyFill="1" applyBorder="1"/>
    <xf numFmtId="166" fontId="2" fillId="2" borderId="4" xfId="2" applyNumberFormat="1" applyFont="1" applyFill="1" applyBorder="1" applyAlignment="1"/>
    <xf numFmtId="166" fontId="2" fillId="0" borderId="4" xfId="2" applyNumberFormat="1" applyFont="1" applyBorder="1" applyAlignment="1"/>
    <xf numFmtId="166" fontId="2" fillId="7" borderId="4" xfId="2" applyNumberFormat="1" applyFont="1" applyFill="1" applyBorder="1" applyAlignment="1"/>
    <xf numFmtId="9" fontId="2" fillId="7" borderId="4" xfId="2" applyFont="1" applyFill="1" applyBorder="1" applyAlignment="1"/>
    <xf numFmtId="9" fontId="2" fillId="0" borderId="4" xfId="2" applyFont="1" applyBorder="1"/>
    <xf numFmtId="166" fontId="2" fillId="7" borderId="4" xfId="2" applyNumberFormat="1" applyFont="1" applyFill="1" applyBorder="1"/>
    <xf numFmtId="166" fontId="2" fillId="0" borderId="4" xfId="2" applyNumberFormat="1" applyFont="1" applyBorder="1"/>
    <xf numFmtId="166" fontId="2" fillId="0" borderId="6" xfId="2" applyNumberFormat="1" applyFont="1" applyBorder="1" applyAlignment="1"/>
    <xf numFmtId="166" fontId="2" fillId="0" borderId="6" xfId="2" applyNumberFormat="1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4" fillId="0" borderId="1" xfId="1" applyNumberFormat="1" applyFont="1" applyBorder="1" applyAlignment="1">
      <alignment horizontal="center" wrapText="1"/>
    </xf>
    <xf numFmtId="165" fontId="4" fillId="0" borderId="7" xfId="1" applyNumberFormat="1" applyFont="1" applyBorder="1" applyAlignment="1">
      <alignment horizontal="center" wrapText="1"/>
    </xf>
    <xf numFmtId="165" fontId="4" fillId="0" borderId="2" xfId="1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0"/>
  <sheetViews>
    <sheetView rightToLeft="1" tabSelected="1" workbookViewId="0">
      <pane xSplit="2" ySplit="3" topLeftCell="P4" activePane="bottomRight" state="frozen"/>
      <selection pane="topRight" activeCell="C1" sqref="C1"/>
      <selection pane="bottomLeft" activeCell="A4" sqref="A4"/>
      <selection pane="bottomRight" activeCell="Y13" sqref="Y13"/>
    </sheetView>
  </sheetViews>
  <sheetFormatPr defaultColWidth="8.7109375" defaultRowHeight="18" x14ac:dyDescent="0.45"/>
  <cols>
    <col min="1" max="1" width="5.140625" style="1" bestFit="1" customWidth="1"/>
    <col min="2" max="2" width="57.42578125" style="1" bestFit="1" customWidth="1"/>
    <col min="3" max="3" width="14.140625" style="2" bestFit="1" customWidth="1"/>
    <col min="4" max="4" width="14.140625" style="2" customWidth="1"/>
    <col min="5" max="5" width="6.85546875" style="2" bestFit="1" customWidth="1"/>
    <col min="6" max="6" width="14.140625" style="1" bestFit="1" customWidth="1"/>
    <col min="7" max="7" width="14.140625" style="1" customWidth="1"/>
    <col min="8" max="8" width="5.85546875" style="1" bestFit="1" customWidth="1"/>
    <col min="9" max="9" width="14.140625" style="1" bestFit="1" customWidth="1"/>
    <col min="10" max="10" width="14.140625" style="1" customWidth="1"/>
    <col min="11" max="11" width="5.85546875" style="1" bestFit="1" customWidth="1"/>
    <col min="12" max="12" width="14.140625" style="1" bestFit="1" customWidth="1"/>
    <col min="13" max="13" width="14.140625" style="1" customWidth="1"/>
    <col min="14" max="14" width="5.85546875" style="1" bestFit="1" customWidth="1"/>
    <col min="15" max="15" width="14.140625" style="1" bestFit="1" customWidth="1"/>
    <col min="16" max="16" width="15.85546875" style="1" bestFit="1" customWidth="1"/>
    <col min="17" max="17" width="5.85546875" style="1" bestFit="1" customWidth="1"/>
    <col min="18" max="19" width="15.85546875" style="1" bestFit="1" customWidth="1"/>
    <col min="20" max="20" width="5.85546875" style="1" bestFit="1" customWidth="1"/>
    <col min="21" max="22" width="15.85546875" style="1" bestFit="1" customWidth="1"/>
    <col min="23" max="23" width="6.7109375" style="1" bestFit="1" customWidth="1"/>
    <col min="24" max="16384" width="8.7109375" style="1"/>
  </cols>
  <sheetData>
    <row r="1" spans="1:23" ht="18.75" thickBot="1" x14ac:dyDescent="0.5">
      <c r="B1" s="1" t="s">
        <v>52</v>
      </c>
    </row>
    <row r="2" spans="1:23" s="6" customFormat="1" ht="19.5" x14ac:dyDescent="0.5">
      <c r="A2" s="6" t="s">
        <v>0</v>
      </c>
      <c r="B2" s="6" t="s">
        <v>1</v>
      </c>
      <c r="C2" s="62" t="s">
        <v>50</v>
      </c>
      <c r="D2" s="63"/>
      <c r="E2" s="64"/>
      <c r="F2" s="59" t="s">
        <v>51</v>
      </c>
      <c r="G2" s="60"/>
      <c r="H2" s="61"/>
      <c r="I2" s="65" t="s">
        <v>53</v>
      </c>
      <c r="J2" s="66"/>
      <c r="K2" s="67"/>
      <c r="L2" s="59" t="s">
        <v>54</v>
      </c>
      <c r="M2" s="60"/>
      <c r="N2" s="61"/>
      <c r="O2" s="59" t="s">
        <v>55</v>
      </c>
      <c r="P2" s="60"/>
      <c r="Q2" s="61"/>
      <c r="R2" s="59" t="s">
        <v>56</v>
      </c>
      <c r="S2" s="60"/>
      <c r="T2" s="61"/>
      <c r="U2" s="59" t="s">
        <v>57</v>
      </c>
      <c r="V2" s="60"/>
      <c r="W2" s="61"/>
    </row>
    <row r="3" spans="1:23" s="6" customFormat="1" ht="19.5" x14ac:dyDescent="0.5">
      <c r="C3" s="25">
        <v>1402</v>
      </c>
      <c r="D3" s="26">
        <v>1401</v>
      </c>
      <c r="E3" s="27" t="s">
        <v>58</v>
      </c>
      <c r="F3" s="25">
        <v>1402</v>
      </c>
      <c r="G3" s="26">
        <v>1401</v>
      </c>
      <c r="H3" s="46" t="s">
        <v>58</v>
      </c>
      <c r="I3" s="25">
        <v>1402</v>
      </c>
      <c r="J3" s="26">
        <v>1401</v>
      </c>
      <c r="K3" s="46" t="s">
        <v>58</v>
      </c>
      <c r="L3" s="25">
        <v>1402</v>
      </c>
      <c r="M3" s="26">
        <v>1401</v>
      </c>
      <c r="N3" s="46" t="s">
        <v>58</v>
      </c>
      <c r="O3" s="25">
        <v>1402</v>
      </c>
      <c r="P3" s="26">
        <v>1401</v>
      </c>
      <c r="Q3" s="46" t="s">
        <v>58</v>
      </c>
      <c r="R3" s="25">
        <v>1402</v>
      </c>
      <c r="S3" s="26">
        <v>1401</v>
      </c>
      <c r="T3" s="46" t="s">
        <v>58</v>
      </c>
      <c r="U3" s="25">
        <v>1402</v>
      </c>
      <c r="V3" s="26">
        <v>1401</v>
      </c>
      <c r="W3" s="46" t="s">
        <v>58</v>
      </c>
    </row>
    <row r="4" spans="1:23" x14ac:dyDescent="0.45">
      <c r="A4" s="1">
        <v>1</v>
      </c>
      <c r="B4" s="1" t="s">
        <v>3</v>
      </c>
      <c r="C4" s="28">
        <f>C6*30</f>
        <v>55623855</v>
      </c>
      <c r="D4" s="29">
        <f>D6*30</f>
        <v>43897500</v>
      </c>
      <c r="E4" s="30">
        <f>(C4-D4)/D4</f>
        <v>0.26713036049888944</v>
      </c>
      <c r="F4" s="28">
        <f>F6*30</f>
        <v>58164855</v>
      </c>
      <c r="G4" s="29">
        <f>G6*30</f>
        <v>45997500</v>
      </c>
      <c r="H4" s="30">
        <f>(F4-G4)/G4</f>
        <v>0.26452209359204304</v>
      </c>
      <c r="I4" s="28">
        <f t="shared" ref="I4:O4" si="0">I6*30</f>
        <v>60705855</v>
      </c>
      <c r="J4" s="29">
        <f t="shared" ref="J4" si="1">J6*30</f>
        <v>48097500</v>
      </c>
      <c r="K4" s="30">
        <f>(I4-J4)/J4</f>
        <v>0.26214158740059257</v>
      </c>
      <c r="L4" s="28">
        <f t="shared" si="0"/>
        <v>63246855</v>
      </c>
      <c r="M4" s="29">
        <f t="shared" ref="M4" si="2">M6*30</f>
        <v>50197500</v>
      </c>
      <c r="N4" s="30">
        <f>(L4-M4)/M4</f>
        <v>0.2599602569849096</v>
      </c>
      <c r="O4" s="28">
        <f t="shared" si="0"/>
        <v>65787855</v>
      </c>
      <c r="P4" s="29">
        <f t="shared" ref="P4" si="3">P6*30</f>
        <v>52297500</v>
      </c>
      <c r="Q4" s="30">
        <f>(O4-P4)/P4</f>
        <v>0.25795410870500501</v>
      </c>
      <c r="R4" s="28">
        <f t="shared" ref="R4:U4" si="4">R6*30</f>
        <v>68328855</v>
      </c>
      <c r="S4" s="29">
        <f t="shared" si="4"/>
        <v>54397500</v>
      </c>
      <c r="T4" s="30">
        <f>(R4-S4)/S4</f>
        <v>0.25610285399145183</v>
      </c>
      <c r="U4" s="28">
        <f t="shared" si="4"/>
        <v>70869855</v>
      </c>
      <c r="V4" s="29">
        <f t="shared" ref="V4" si="5">V6*30</f>
        <v>56497500</v>
      </c>
      <c r="W4" s="54">
        <f>(U4-V4)/V4</f>
        <v>0.25438922076198062</v>
      </c>
    </row>
    <row r="5" spans="1:23" x14ac:dyDescent="0.45">
      <c r="A5" s="1">
        <v>2</v>
      </c>
      <c r="B5" s="1" t="s">
        <v>4</v>
      </c>
      <c r="C5" s="28">
        <f>C6*31</f>
        <v>57477983.5</v>
      </c>
      <c r="D5" s="29">
        <f>D6*31</f>
        <v>45360750</v>
      </c>
      <c r="E5" s="30">
        <f t="shared" ref="E5:E38" si="6">(C5-D5)/D5</f>
        <v>0.26713036049888944</v>
      </c>
      <c r="F5" s="28">
        <f>F6*31</f>
        <v>60103683.5</v>
      </c>
      <c r="G5" s="29">
        <f>G6*31</f>
        <v>47530750</v>
      </c>
      <c r="H5" s="30">
        <f t="shared" ref="H5:H38" si="7">(F5-G5)/G5</f>
        <v>0.26452209359204304</v>
      </c>
      <c r="I5" s="28">
        <f t="shared" ref="I5:V5" si="8">I6*31</f>
        <v>62729383.5</v>
      </c>
      <c r="J5" s="29">
        <f t="shared" si="8"/>
        <v>49700750</v>
      </c>
      <c r="K5" s="30">
        <f t="shared" ref="K5:K38" si="9">(I5-J5)/J5</f>
        <v>0.26214158740059257</v>
      </c>
      <c r="L5" s="28">
        <f t="shared" si="8"/>
        <v>65355083.5</v>
      </c>
      <c r="M5" s="29">
        <f t="shared" si="8"/>
        <v>51870750</v>
      </c>
      <c r="N5" s="30">
        <f t="shared" ref="N5:N38" si="10">(L5-M5)/M5</f>
        <v>0.2599602569849096</v>
      </c>
      <c r="O5" s="28">
        <f t="shared" si="8"/>
        <v>67980783.5</v>
      </c>
      <c r="P5" s="29">
        <f t="shared" si="8"/>
        <v>54040750</v>
      </c>
      <c r="Q5" s="30">
        <f t="shared" ref="Q5:Q38" si="11">(O5-P5)/P5</f>
        <v>0.25795410870500501</v>
      </c>
      <c r="R5" s="28">
        <f t="shared" si="8"/>
        <v>70606483.5</v>
      </c>
      <c r="S5" s="29">
        <f t="shared" si="8"/>
        <v>56210750</v>
      </c>
      <c r="T5" s="30">
        <f t="shared" ref="T5:T38" si="12">(R5-S5)/S5</f>
        <v>0.25610285399145183</v>
      </c>
      <c r="U5" s="28">
        <f t="shared" si="8"/>
        <v>73232183.5</v>
      </c>
      <c r="V5" s="29">
        <f t="shared" si="8"/>
        <v>58380750</v>
      </c>
      <c r="W5" s="54">
        <f t="shared" ref="W5:W38" si="13">(U5-V5)/V5</f>
        <v>0.25438922076198062</v>
      </c>
    </row>
    <row r="6" spans="1:23" ht="19.5" x14ac:dyDescent="0.5">
      <c r="A6" s="12">
        <v>3</v>
      </c>
      <c r="B6" s="3" t="s">
        <v>40</v>
      </c>
      <c r="C6" s="31">
        <f>((1393250+(70000*1))*121%)+83596</f>
        <v>1854128.5</v>
      </c>
      <c r="D6" s="32">
        <f>(1393250+(70000*1))</f>
        <v>1463250</v>
      </c>
      <c r="E6" s="52">
        <f t="shared" si="6"/>
        <v>0.26713036049888944</v>
      </c>
      <c r="F6" s="31">
        <f>((1393250+(70000*2))*121%)+83596</f>
        <v>1938828.5</v>
      </c>
      <c r="G6" s="32">
        <f>(1393250+(70000*2))</f>
        <v>1533250</v>
      </c>
      <c r="H6" s="52">
        <f t="shared" si="7"/>
        <v>0.26452209359204304</v>
      </c>
      <c r="I6" s="31">
        <f>((1393250+(70000*3))*121%)+83596</f>
        <v>2023528.5</v>
      </c>
      <c r="J6" s="32">
        <f>(1393250+(70000*3))</f>
        <v>1603250</v>
      </c>
      <c r="K6" s="53">
        <f t="shared" si="9"/>
        <v>0.26214158740059257</v>
      </c>
      <c r="L6" s="31">
        <f>((1393250+(70000*4))*121%)+83596</f>
        <v>2108228.5</v>
      </c>
      <c r="M6" s="32">
        <f>(1393250+(70000*4))</f>
        <v>1673250</v>
      </c>
      <c r="N6" s="52">
        <f t="shared" si="10"/>
        <v>0.2599602569849096</v>
      </c>
      <c r="O6" s="31">
        <f>((1393250+(70000*5))*121%)+83596</f>
        <v>2192928.5</v>
      </c>
      <c r="P6" s="32">
        <f>(1393250+(70000*5))</f>
        <v>1743250</v>
      </c>
      <c r="Q6" s="52">
        <f t="shared" si="11"/>
        <v>0.25795410870500501</v>
      </c>
      <c r="R6" s="31">
        <f>((1393250+(70000*6))*121%)+83596</f>
        <v>2277628.5</v>
      </c>
      <c r="S6" s="32">
        <f>(1393250+(70000*6))</f>
        <v>1813250</v>
      </c>
      <c r="T6" s="52">
        <f t="shared" si="12"/>
        <v>0.25610285399145183</v>
      </c>
      <c r="U6" s="31">
        <f>((1393250+(70000*7))*121%)+83596</f>
        <v>2362328.5</v>
      </c>
      <c r="V6" s="32">
        <f>(1393250+(70000*7))</f>
        <v>1883250</v>
      </c>
      <c r="W6" s="55">
        <f t="shared" si="13"/>
        <v>0.25438922076198062</v>
      </c>
    </row>
    <row r="7" spans="1:23" ht="19.5" x14ac:dyDescent="0.5">
      <c r="A7" s="23">
        <v>4</v>
      </c>
      <c r="B7" s="23" t="s">
        <v>48</v>
      </c>
      <c r="C7" s="33">
        <v>11000000</v>
      </c>
      <c r="D7" s="34">
        <v>8500000</v>
      </c>
      <c r="E7" s="30">
        <f t="shared" si="6"/>
        <v>0.29411764705882354</v>
      </c>
      <c r="F7" s="33">
        <v>11000000</v>
      </c>
      <c r="G7" s="34">
        <f>D7</f>
        <v>8500000</v>
      </c>
      <c r="H7" s="30">
        <f t="shared" si="7"/>
        <v>0.29411764705882354</v>
      </c>
      <c r="I7" s="33">
        <v>11000000</v>
      </c>
      <c r="J7" s="34">
        <f>D7</f>
        <v>8500000</v>
      </c>
      <c r="K7" s="30">
        <f t="shared" si="9"/>
        <v>0.29411764705882354</v>
      </c>
      <c r="L7" s="33">
        <v>11000000</v>
      </c>
      <c r="M7" s="34">
        <f>$D$7</f>
        <v>8500000</v>
      </c>
      <c r="N7" s="30">
        <f t="shared" si="10"/>
        <v>0.29411764705882354</v>
      </c>
      <c r="O7" s="33">
        <v>11000000</v>
      </c>
      <c r="P7" s="34">
        <f>$D$7</f>
        <v>8500000</v>
      </c>
      <c r="Q7" s="30">
        <f t="shared" si="11"/>
        <v>0.29411764705882354</v>
      </c>
      <c r="R7" s="33">
        <v>11000000</v>
      </c>
      <c r="S7" s="34">
        <f>$D$7</f>
        <v>8500000</v>
      </c>
      <c r="T7" s="30">
        <f t="shared" si="12"/>
        <v>0.29411764705882354</v>
      </c>
      <c r="U7" s="33">
        <v>11000000</v>
      </c>
      <c r="V7" s="34">
        <f>$D$7</f>
        <v>8500000</v>
      </c>
      <c r="W7" s="54">
        <f t="shared" si="13"/>
        <v>0.29411764705882354</v>
      </c>
    </row>
    <row r="8" spans="1:23" x14ac:dyDescent="0.45">
      <c r="A8" s="1">
        <v>5</v>
      </c>
      <c r="B8" s="1" t="s">
        <v>49</v>
      </c>
      <c r="C8" s="28">
        <f>C9/30</f>
        <v>70000</v>
      </c>
      <c r="D8" s="29">
        <f>D9/30</f>
        <v>70000</v>
      </c>
      <c r="E8" s="30">
        <f t="shared" si="6"/>
        <v>0</v>
      </c>
      <c r="F8" s="28">
        <f>F9/30</f>
        <v>70000</v>
      </c>
      <c r="G8" s="29">
        <f>G9/30</f>
        <v>70000</v>
      </c>
      <c r="H8" s="30">
        <f t="shared" si="7"/>
        <v>0</v>
      </c>
      <c r="I8" s="28">
        <f t="shared" ref="I8:V8" si="14">I9/30</f>
        <v>70000</v>
      </c>
      <c r="J8" s="29">
        <f t="shared" si="14"/>
        <v>70000</v>
      </c>
      <c r="K8" s="30">
        <f t="shared" si="9"/>
        <v>0</v>
      </c>
      <c r="L8" s="28">
        <f t="shared" si="14"/>
        <v>70000</v>
      </c>
      <c r="M8" s="29">
        <f t="shared" si="14"/>
        <v>70000</v>
      </c>
      <c r="N8" s="30">
        <f t="shared" si="10"/>
        <v>0</v>
      </c>
      <c r="O8" s="28">
        <f t="shared" si="14"/>
        <v>70000</v>
      </c>
      <c r="P8" s="29">
        <f t="shared" si="14"/>
        <v>70000</v>
      </c>
      <c r="Q8" s="30">
        <f t="shared" si="11"/>
        <v>0</v>
      </c>
      <c r="R8" s="28">
        <f t="shared" si="14"/>
        <v>70000</v>
      </c>
      <c r="S8" s="29">
        <f t="shared" si="14"/>
        <v>70000</v>
      </c>
      <c r="T8" s="30">
        <f t="shared" si="12"/>
        <v>0</v>
      </c>
      <c r="U8" s="28">
        <f t="shared" si="14"/>
        <v>70000</v>
      </c>
      <c r="V8" s="29">
        <f t="shared" si="14"/>
        <v>70000</v>
      </c>
      <c r="W8" s="54">
        <f t="shared" si="13"/>
        <v>0</v>
      </c>
    </row>
    <row r="9" spans="1:23" ht="19.5" x14ac:dyDescent="0.5">
      <c r="A9" s="23">
        <v>6</v>
      </c>
      <c r="B9" s="23" t="s">
        <v>37</v>
      </c>
      <c r="C9" s="33">
        <v>2100000</v>
      </c>
      <c r="D9" s="34">
        <v>2100000</v>
      </c>
      <c r="E9" s="30">
        <f t="shared" si="6"/>
        <v>0</v>
      </c>
      <c r="F9" s="33">
        <v>2100000</v>
      </c>
      <c r="G9" s="34">
        <v>2100000</v>
      </c>
      <c r="H9" s="30">
        <f t="shared" si="7"/>
        <v>0</v>
      </c>
      <c r="I9" s="33">
        <v>2100000</v>
      </c>
      <c r="J9" s="34">
        <v>2100000</v>
      </c>
      <c r="K9" s="30">
        <f t="shared" si="9"/>
        <v>0</v>
      </c>
      <c r="L9" s="33">
        <v>2100000</v>
      </c>
      <c r="M9" s="34">
        <v>2100000</v>
      </c>
      <c r="N9" s="30">
        <f t="shared" si="10"/>
        <v>0</v>
      </c>
      <c r="O9" s="33">
        <v>2100000</v>
      </c>
      <c r="P9" s="34">
        <v>2100000</v>
      </c>
      <c r="Q9" s="30">
        <f t="shared" si="11"/>
        <v>0</v>
      </c>
      <c r="R9" s="33">
        <v>2100000</v>
      </c>
      <c r="S9" s="34">
        <v>2100000</v>
      </c>
      <c r="T9" s="30">
        <f t="shared" si="12"/>
        <v>0</v>
      </c>
      <c r="U9" s="33">
        <v>2100000</v>
      </c>
      <c r="V9" s="34">
        <v>2100000</v>
      </c>
      <c r="W9" s="54">
        <f t="shared" si="13"/>
        <v>0</v>
      </c>
    </row>
    <row r="10" spans="1:23" ht="19.5" x14ac:dyDescent="0.5">
      <c r="A10" s="23">
        <v>7</v>
      </c>
      <c r="B10" s="23" t="s">
        <v>5</v>
      </c>
      <c r="C10" s="33">
        <v>9000000</v>
      </c>
      <c r="D10" s="34">
        <v>5500000</v>
      </c>
      <c r="E10" s="30">
        <f t="shared" si="6"/>
        <v>0.63636363636363635</v>
      </c>
      <c r="F10" s="33">
        <v>9000000</v>
      </c>
      <c r="G10" s="34">
        <f>D10</f>
        <v>5500000</v>
      </c>
      <c r="H10" s="30">
        <f t="shared" si="7"/>
        <v>0.63636363636363635</v>
      </c>
      <c r="I10" s="33">
        <v>9000000</v>
      </c>
      <c r="J10" s="34">
        <f>D10</f>
        <v>5500000</v>
      </c>
      <c r="K10" s="30">
        <f t="shared" si="9"/>
        <v>0.63636363636363635</v>
      </c>
      <c r="L10" s="33">
        <v>9000000</v>
      </c>
      <c r="M10" s="34">
        <f>$D$10</f>
        <v>5500000</v>
      </c>
      <c r="N10" s="30">
        <f t="shared" si="10"/>
        <v>0.63636363636363635</v>
      </c>
      <c r="O10" s="33">
        <v>9000000</v>
      </c>
      <c r="P10" s="34">
        <f>$D$10</f>
        <v>5500000</v>
      </c>
      <c r="Q10" s="30">
        <f t="shared" si="11"/>
        <v>0.63636363636363635</v>
      </c>
      <c r="R10" s="33">
        <v>9000000</v>
      </c>
      <c r="S10" s="34">
        <f>$D$10</f>
        <v>5500000</v>
      </c>
      <c r="T10" s="30">
        <f t="shared" si="12"/>
        <v>0.63636363636363635</v>
      </c>
      <c r="U10" s="33">
        <v>9000000</v>
      </c>
      <c r="V10" s="34">
        <f>$D$10</f>
        <v>5500000</v>
      </c>
      <c r="W10" s="54">
        <f t="shared" si="13"/>
        <v>0.63636363636363635</v>
      </c>
    </row>
    <row r="11" spans="1:23" x14ac:dyDescent="0.45">
      <c r="A11" s="1">
        <v>10</v>
      </c>
      <c r="B11" s="1" t="s">
        <v>6</v>
      </c>
      <c r="C11" s="28">
        <f>C6*3*1</f>
        <v>5562385.5</v>
      </c>
      <c r="D11" s="29">
        <f>D6*3*1</f>
        <v>4389750</v>
      </c>
      <c r="E11" s="30">
        <f t="shared" si="6"/>
        <v>0.26713036049888944</v>
      </c>
      <c r="F11" s="28">
        <f>F6*3*1</f>
        <v>5816485.5</v>
      </c>
      <c r="G11" s="29">
        <f>G6*3*1</f>
        <v>4599750</v>
      </c>
      <c r="H11" s="30">
        <f t="shared" si="7"/>
        <v>0.26452209359204304</v>
      </c>
      <c r="I11" s="28">
        <f t="shared" ref="I11:O11" si="15">I6*3*1</f>
        <v>6070585.5</v>
      </c>
      <c r="J11" s="29">
        <f t="shared" ref="J11" si="16">J6*3*1</f>
        <v>4809750</v>
      </c>
      <c r="K11" s="30">
        <f t="shared" si="9"/>
        <v>0.26214158740059257</v>
      </c>
      <c r="L11" s="28">
        <f t="shared" si="15"/>
        <v>6324685.5</v>
      </c>
      <c r="M11" s="29">
        <f t="shared" ref="M11" si="17">M6*3*1</f>
        <v>5019750</v>
      </c>
      <c r="N11" s="30">
        <f t="shared" si="10"/>
        <v>0.2599602569849096</v>
      </c>
      <c r="O11" s="28">
        <f t="shared" si="15"/>
        <v>6578785.5</v>
      </c>
      <c r="P11" s="29">
        <f t="shared" ref="P11" si="18">P6*3*1</f>
        <v>5229750</v>
      </c>
      <c r="Q11" s="30">
        <f t="shared" si="11"/>
        <v>0.25795410870500501</v>
      </c>
      <c r="R11" s="28">
        <f t="shared" ref="R11:U11" si="19">R6*3*1</f>
        <v>6832885.5</v>
      </c>
      <c r="S11" s="29">
        <f t="shared" si="19"/>
        <v>5439750</v>
      </c>
      <c r="T11" s="30">
        <f t="shared" si="12"/>
        <v>0.25610285399145183</v>
      </c>
      <c r="U11" s="28">
        <f t="shared" si="19"/>
        <v>7086985.5</v>
      </c>
      <c r="V11" s="29">
        <f t="shared" ref="V11" si="20">V6*3*1</f>
        <v>5649750</v>
      </c>
      <c r="W11" s="54">
        <f t="shared" si="13"/>
        <v>0.25438922076198062</v>
      </c>
    </row>
    <row r="12" spans="1:23" x14ac:dyDescent="0.45">
      <c r="A12" s="1">
        <v>11</v>
      </c>
      <c r="B12" s="1" t="s">
        <v>7</v>
      </c>
      <c r="C12" s="28">
        <f>C6*3*2</f>
        <v>11124771</v>
      </c>
      <c r="D12" s="29">
        <f>D6*3*2</f>
        <v>8779500</v>
      </c>
      <c r="E12" s="30">
        <f t="shared" si="6"/>
        <v>0.26713036049888944</v>
      </c>
      <c r="F12" s="28">
        <f>F6*3*2</f>
        <v>11632971</v>
      </c>
      <c r="G12" s="29">
        <f>G6*3*2</f>
        <v>9199500</v>
      </c>
      <c r="H12" s="30">
        <f t="shared" si="7"/>
        <v>0.26452209359204304</v>
      </c>
      <c r="I12" s="28">
        <f t="shared" ref="I12:O12" si="21">I6*3*2</f>
        <v>12141171</v>
      </c>
      <c r="J12" s="29">
        <f t="shared" ref="J12" si="22">J6*3*2</f>
        <v>9619500</v>
      </c>
      <c r="K12" s="30">
        <f t="shared" si="9"/>
        <v>0.26214158740059257</v>
      </c>
      <c r="L12" s="28">
        <f t="shared" si="21"/>
        <v>12649371</v>
      </c>
      <c r="M12" s="29">
        <f t="shared" ref="M12" si="23">M6*3*2</f>
        <v>10039500</v>
      </c>
      <c r="N12" s="30">
        <f t="shared" si="10"/>
        <v>0.2599602569849096</v>
      </c>
      <c r="O12" s="28">
        <f t="shared" si="21"/>
        <v>13157571</v>
      </c>
      <c r="P12" s="29">
        <f t="shared" ref="P12" si="24">P6*3*2</f>
        <v>10459500</v>
      </c>
      <c r="Q12" s="30">
        <f t="shared" si="11"/>
        <v>0.25795410870500501</v>
      </c>
      <c r="R12" s="28">
        <f t="shared" ref="R12:U12" si="25">R6*3*2</f>
        <v>13665771</v>
      </c>
      <c r="S12" s="29">
        <f t="shared" si="25"/>
        <v>10879500</v>
      </c>
      <c r="T12" s="30">
        <f t="shared" si="12"/>
        <v>0.25610285399145183</v>
      </c>
      <c r="U12" s="28">
        <f t="shared" si="25"/>
        <v>14173971</v>
      </c>
      <c r="V12" s="29">
        <f t="shared" ref="V12" si="26">V6*3*2</f>
        <v>11299500</v>
      </c>
      <c r="W12" s="54">
        <f t="shared" si="13"/>
        <v>0.25438922076198062</v>
      </c>
    </row>
    <row r="13" spans="1:23" x14ac:dyDescent="0.45">
      <c r="A13" s="1">
        <v>12</v>
      </c>
      <c r="B13" s="1" t="s">
        <v>8</v>
      </c>
      <c r="C13" s="28">
        <f>C6*3*3</f>
        <v>16687156.5</v>
      </c>
      <c r="D13" s="29">
        <f>D6*3*3</f>
        <v>13169250</v>
      </c>
      <c r="E13" s="30">
        <f t="shared" si="6"/>
        <v>0.26713036049888944</v>
      </c>
      <c r="F13" s="28">
        <f>F6*3*3</f>
        <v>17449456.5</v>
      </c>
      <c r="G13" s="29">
        <f>G6*3*3</f>
        <v>13799250</v>
      </c>
      <c r="H13" s="30">
        <f t="shared" si="7"/>
        <v>0.26452209359204304</v>
      </c>
      <c r="I13" s="28">
        <f t="shared" ref="I13:O13" si="27">I6*3*3</f>
        <v>18211756.5</v>
      </c>
      <c r="J13" s="29">
        <f t="shared" ref="J13" si="28">J6*3*3</f>
        <v>14429250</v>
      </c>
      <c r="K13" s="30">
        <f t="shared" si="9"/>
        <v>0.26214158740059257</v>
      </c>
      <c r="L13" s="28">
        <f t="shared" si="27"/>
        <v>18974056.5</v>
      </c>
      <c r="M13" s="29">
        <f t="shared" ref="M13" si="29">M6*3*3</f>
        <v>15059250</v>
      </c>
      <c r="N13" s="30">
        <f t="shared" si="10"/>
        <v>0.2599602569849096</v>
      </c>
      <c r="O13" s="28">
        <f t="shared" si="27"/>
        <v>19736356.5</v>
      </c>
      <c r="P13" s="29">
        <f t="shared" ref="P13" si="30">P6*3*3</f>
        <v>15689250</v>
      </c>
      <c r="Q13" s="30">
        <f t="shared" si="11"/>
        <v>0.25795410870500501</v>
      </c>
      <c r="R13" s="28">
        <f t="shared" ref="R13:U13" si="31">R6*3*3</f>
        <v>20498656.5</v>
      </c>
      <c r="S13" s="29">
        <f t="shared" si="31"/>
        <v>16319250</v>
      </c>
      <c r="T13" s="30">
        <f t="shared" si="12"/>
        <v>0.25610285399145183</v>
      </c>
      <c r="U13" s="28">
        <f t="shared" si="31"/>
        <v>21260956.5</v>
      </c>
      <c r="V13" s="29">
        <f t="shared" ref="V13" si="32">V6*3*3</f>
        <v>16949250</v>
      </c>
      <c r="W13" s="54">
        <f t="shared" si="13"/>
        <v>0.25438922076198062</v>
      </c>
    </row>
    <row r="14" spans="1:23" x14ac:dyDescent="0.45">
      <c r="A14" s="14">
        <v>13</v>
      </c>
      <c r="B14" s="14" t="s">
        <v>41</v>
      </c>
      <c r="C14" s="35">
        <f>C6*60</f>
        <v>111247710</v>
      </c>
      <c r="D14" s="36">
        <f>D6*60</f>
        <v>87795000</v>
      </c>
      <c r="E14" s="30">
        <f t="shared" si="6"/>
        <v>0.26713036049888944</v>
      </c>
      <c r="F14" s="35">
        <f>F6*60</f>
        <v>116329710</v>
      </c>
      <c r="G14" s="36">
        <f>G6*60</f>
        <v>91995000</v>
      </c>
      <c r="H14" s="30">
        <f t="shared" si="7"/>
        <v>0.26452209359204304</v>
      </c>
      <c r="I14" s="35">
        <f t="shared" ref="I14:O14" si="33">I6*60</f>
        <v>121411710</v>
      </c>
      <c r="J14" s="36">
        <f t="shared" ref="J14" si="34">J6*60</f>
        <v>96195000</v>
      </c>
      <c r="K14" s="30">
        <f t="shared" si="9"/>
        <v>0.26214158740059257</v>
      </c>
      <c r="L14" s="35">
        <f t="shared" si="33"/>
        <v>126493710</v>
      </c>
      <c r="M14" s="36">
        <f t="shared" ref="M14" si="35">M6*60</f>
        <v>100395000</v>
      </c>
      <c r="N14" s="30">
        <f t="shared" si="10"/>
        <v>0.2599602569849096</v>
      </c>
      <c r="O14" s="35">
        <f t="shared" si="33"/>
        <v>131575710</v>
      </c>
      <c r="P14" s="36">
        <f t="shared" ref="P14" si="36">P6*60</f>
        <v>104595000</v>
      </c>
      <c r="Q14" s="30">
        <f t="shared" si="11"/>
        <v>0.25795410870500501</v>
      </c>
      <c r="R14" s="35">
        <f t="shared" ref="R14:U14" si="37">R6*60</f>
        <v>136657710</v>
      </c>
      <c r="S14" s="36">
        <f t="shared" si="37"/>
        <v>108795000</v>
      </c>
      <c r="T14" s="30">
        <f t="shared" si="12"/>
        <v>0.25610285399145183</v>
      </c>
      <c r="U14" s="35">
        <f t="shared" si="37"/>
        <v>141739710</v>
      </c>
      <c r="V14" s="36">
        <f t="shared" ref="V14" si="38">V6*60</f>
        <v>112995000</v>
      </c>
      <c r="W14" s="54">
        <f t="shared" si="13"/>
        <v>0.25438922076198062</v>
      </c>
    </row>
    <row r="15" spans="1:23" x14ac:dyDescent="0.45">
      <c r="A15" s="1">
        <v>14</v>
      </c>
      <c r="B15" s="1" t="s">
        <v>42</v>
      </c>
      <c r="C15" s="28">
        <f>C6*5</f>
        <v>9270642.5</v>
      </c>
      <c r="D15" s="29">
        <f>D6*5</f>
        <v>7316250</v>
      </c>
      <c r="E15" s="30">
        <f t="shared" si="6"/>
        <v>0.26713036049888944</v>
      </c>
      <c r="F15" s="28">
        <f>F6*5</f>
        <v>9694142.5</v>
      </c>
      <c r="G15" s="29">
        <f>G6*5</f>
        <v>7666250</v>
      </c>
      <c r="H15" s="30">
        <f t="shared" si="7"/>
        <v>0.26452209359204304</v>
      </c>
      <c r="I15" s="28">
        <f t="shared" ref="I15:O15" si="39">I6*5</f>
        <v>10117642.5</v>
      </c>
      <c r="J15" s="29">
        <f t="shared" ref="J15" si="40">J6*5</f>
        <v>8016250</v>
      </c>
      <c r="K15" s="30">
        <f t="shared" si="9"/>
        <v>0.26214158740059257</v>
      </c>
      <c r="L15" s="28">
        <f t="shared" si="39"/>
        <v>10541142.5</v>
      </c>
      <c r="M15" s="29">
        <f t="shared" ref="M15" si="41">M6*5</f>
        <v>8366250</v>
      </c>
      <c r="N15" s="30">
        <f t="shared" si="10"/>
        <v>0.2599602569849096</v>
      </c>
      <c r="O15" s="28">
        <f t="shared" si="39"/>
        <v>10964642.5</v>
      </c>
      <c r="P15" s="29">
        <f t="shared" ref="P15" si="42">P6*5</f>
        <v>8716250</v>
      </c>
      <c r="Q15" s="30">
        <f t="shared" si="11"/>
        <v>0.25795410870500501</v>
      </c>
      <c r="R15" s="28">
        <f t="shared" ref="R15:U15" si="43">R6*5</f>
        <v>11388142.5</v>
      </c>
      <c r="S15" s="29">
        <f t="shared" si="43"/>
        <v>9066250</v>
      </c>
      <c r="T15" s="30">
        <f t="shared" si="12"/>
        <v>0.25610285399145183</v>
      </c>
      <c r="U15" s="28">
        <f t="shared" si="43"/>
        <v>11811642.5</v>
      </c>
      <c r="V15" s="29">
        <f t="shared" ref="V15" si="44">V6*5</f>
        <v>9416250</v>
      </c>
      <c r="W15" s="54">
        <f t="shared" si="13"/>
        <v>0.25438922076198062</v>
      </c>
    </row>
    <row r="16" spans="1:23" x14ac:dyDescent="0.45">
      <c r="A16" s="14">
        <v>15</v>
      </c>
      <c r="B16" s="14" t="s">
        <v>9</v>
      </c>
      <c r="C16" s="35">
        <f>C4</f>
        <v>55623855</v>
      </c>
      <c r="D16" s="36">
        <f>D4</f>
        <v>43897500</v>
      </c>
      <c r="E16" s="30">
        <f t="shared" si="6"/>
        <v>0.26713036049888944</v>
      </c>
      <c r="F16" s="35">
        <f>F4</f>
        <v>58164855</v>
      </c>
      <c r="G16" s="36">
        <f>G4</f>
        <v>45997500</v>
      </c>
      <c r="H16" s="30">
        <f t="shared" si="7"/>
        <v>0.26452209359204304</v>
      </c>
      <c r="I16" s="35">
        <f t="shared" ref="I16:O16" si="45">I4</f>
        <v>60705855</v>
      </c>
      <c r="J16" s="36">
        <f t="shared" ref="J16" si="46">J4</f>
        <v>48097500</v>
      </c>
      <c r="K16" s="30">
        <f t="shared" si="9"/>
        <v>0.26214158740059257</v>
      </c>
      <c r="L16" s="35">
        <f t="shared" si="45"/>
        <v>63246855</v>
      </c>
      <c r="M16" s="36">
        <f t="shared" ref="M16" si="47">M4</f>
        <v>50197500</v>
      </c>
      <c r="N16" s="30">
        <f t="shared" si="10"/>
        <v>0.2599602569849096</v>
      </c>
      <c r="O16" s="35">
        <f t="shared" si="45"/>
        <v>65787855</v>
      </c>
      <c r="P16" s="36">
        <f t="shared" ref="P16" si="48">P4</f>
        <v>52297500</v>
      </c>
      <c r="Q16" s="30">
        <f t="shared" si="11"/>
        <v>0.25795410870500501</v>
      </c>
      <c r="R16" s="35">
        <f t="shared" ref="R16:U16" si="49">R4</f>
        <v>68328855</v>
      </c>
      <c r="S16" s="36">
        <f t="shared" si="49"/>
        <v>54397500</v>
      </c>
      <c r="T16" s="30">
        <f t="shared" si="12"/>
        <v>0.25610285399145183</v>
      </c>
      <c r="U16" s="35">
        <f t="shared" si="49"/>
        <v>70869855</v>
      </c>
      <c r="V16" s="36">
        <f t="shared" ref="V16" si="50">V4</f>
        <v>56497500</v>
      </c>
      <c r="W16" s="54">
        <f t="shared" si="13"/>
        <v>0.25438922076198062</v>
      </c>
    </row>
    <row r="17" spans="1:23" x14ac:dyDescent="0.45">
      <c r="A17" s="1">
        <v>16</v>
      </c>
      <c r="B17" s="1" t="s">
        <v>10</v>
      </c>
      <c r="C17" s="28">
        <f>C6*2.5</f>
        <v>4635321.25</v>
      </c>
      <c r="D17" s="29">
        <f>D6*2.5</f>
        <v>3658125</v>
      </c>
      <c r="E17" s="30">
        <f t="shared" si="6"/>
        <v>0.26713036049888944</v>
      </c>
      <c r="F17" s="28">
        <f>F6*2.5</f>
        <v>4847071.25</v>
      </c>
      <c r="G17" s="29">
        <f>G6*2.5</f>
        <v>3833125</v>
      </c>
      <c r="H17" s="30">
        <f t="shared" si="7"/>
        <v>0.26452209359204304</v>
      </c>
      <c r="I17" s="28">
        <f t="shared" ref="I17:O17" si="51">I6*2.5</f>
        <v>5058821.25</v>
      </c>
      <c r="J17" s="29">
        <f t="shared" ref="J17" si="52">J6*2.5</f>
        <v>4008125</v>
      </c>
      <c r="K17" s="30">
        <f t="shared" si="9"/>
        <v>0.26214158740059257</v>
      </c>
      <c r="L17" s="28">
        <f t="shared" si="51"/>
        <v>5270571.25</v>
      </c>
      <c r="M17" s="29">
        <f t="shared" ref="M17" si="53">M6*2.5</f>
        <v>4183125</v>
      </c>
      <c r="N17" s="30">
        <f t="shared" si="10"/>
        <v>0.2599602569849096</v>
      </c>
      <c r="O17" s="28">
        <f t="shared" si="51"/>
        <v>5482321.25</v>
      </c>
      <c r="P17" s="29">
        <f t="shared" ref="P17" si="54">P6*2.5</f>
        <v>4358125</v>
      </c>
      <c r="Q17" s="30">
        <f t="shared" si="11"/>
        <v>0.25795410870500501</v>
      </c>
      <c r="R17" s="28">
        <f t="shared" ref="R17:U17" si="55">R6*2.5</f>
        <v>5694071.25</v>
      </c>
      <c r="S17" s="29">
        <f t="shared" si="55"/>
        <v>4533125</v>
      </c>
      <c r="T17" s="30">
        <f t="shared" si="12"/>
        <v>0.25610285399145183</v>
      </c>
      <c r="U17" s="28">
        <f t="shared" si="55"/>
        <v>5905821.25</v>
      </c>
      <c r="V17" s="29">
        <f t="shared" ref="V17" si="56">V6*2.5</f>
        <v>4708125</v>
      </c>
      <c r="W17" s="54">
        <f t="shared" si="13"/>
        <v>0.25438922076198062</v>
      </c>
    </row>
    <row r="18" spans="1:23" ht="19.5" x14ac:dyDescent="0.5">
      <c r="A18" s="11">
        <v>17</v>
      </c>
      <c r="B18" s="4" t="s">
        <v>11</v>
      </c>
      <c r="C18" s="37">
        <f>C6/7.33</f>
        <v>252950.68212824009</v>
      </c>
      <c r="D18" s="38">
        <f>D6/7.33</f>
        <v>199624.82946793997</v>
      </c>
      <c r="E18" s="30">
        <f t="shared" si="6"/>
        <v>0.26713036049888939</v>
      </c>
      <c r="F18" s="37">
        <f>F6/7.33</f>
        <v>264505.93451568898</v>
      </c>
      <c r="G18" s="38">
        <f>G6/7.33</f>
        <v>209174.62482946794</v>
      </c>
      <c r="H18" s="30">
        <f t="shared" si="7"/>
        <v>0.26452209359204315</v>
      </c>
      <c r="I18" s="37">
        <f t="shared" ref="I18:O18" si="57">I6/7.33</f>
        <v>276061.18690313777</v>
      </c>
      <c r="J18" s="38">
        <f t="shared" ref="J18" si="58">J6/7.33</f>
        <v>218724.42019099591</v>
      </c>
      <c r="K18" s="30">
        <f t="shared" si="9"/>
        <v>0.26214158740059246</v>
      </c>
      <c r="L18" s="37">
        <f t="shared" si="57"/>
        <v>287616.43929058663</v>
      </c>
      <c r="M18" s="38">
        <f t="shared" ref="M18" si="59">M6/7.33</f>
        <v>228274.21555252388</v>
      </c>
      <c r="N18" s="30">
        <f t="shared" si="10"/>
        <v>0.25996025698490954</v>
      </c>
      <c r="O18" s="37">
        <f t="shared" si="57"/>
        <v>299171.69167803548</v>
      </c>
      <c r="P18" s="38">
        <f t="shared" ref="P18" si="60">P6/7.33</f>
        <v>237824.01091405185</v>
      </c>
      <c r="Q18" s="30">
        <f t="shared" si="11"/>
        <v>0.25795410870500501</v>
      </c>
      <c r="R18" s="37">
        <f t="shared" ref="R18:U18" si="61">R6/7.33</f>
        <v>310726.94406548433</v>
      </c>
      <c r="S18" s="38">
        <f t="shared" si="61"/>
        <v>247373.80627557982</v>
      </c>
      <c r="T18" s="30">
        <f t="shared" si="12"/>
        <v>0.25610285399145188</v>
      </c>
      <c r="U18" s="37">
        <f t="shared" si="61"/>
        <v>322282.19645293313</v>
      </c>
      <c r="V18" s="38">
        <f t="shared" ref="V18" si="62">V6/7.33</f>
        <v>256923.60163710779</v>
      </c>
      <c r="W18" s="54">
        <f t="shared" si="13"/>
        <v>0.25438922076198051</v>
      </c>
    </row>
    <row r="19" spans="1:23" x14ac:dyDescent="0.45">
      <c r="A19" s="13">
        <v>18</v>
      </c>
      <c r="B19" s="13" t="s">
        <v>47</v>
      </c>
      <c r="C19" s="39">
        <f>C18*1.4</f>
        <v>354130.95497953612</v>
      </c>
      <c r="D19" s="40">
        <f>D18*1.4</f>
        <v>279474.76125511591</v>
      </c>
      <c r="E19" s="30">
        <f t="shared" si="6"/>
        <v>0.26713036049888961</v>
      </c>
      <c r="F19" s="39">
        <f>F18*1.4</f>
        <v>370308.30832196452</v>
      </c>
      <c r="G19" s="40">
        <f>G18*1.4</f>
        <v>292844.47476125509</v>
      </c>
      <c r="H19" s="30">
        <f t="shared" si="7"/>
        <v>0.26452209359204315</v>
      </c>
      <c r="I19" s="39">
        <f t="shared" ref="I19:U19" si="63">I18*1.4</f>
        <v>386485.66166439286</v>
      </c>
      <c r="J19" s="40">
        <f t="shared" ref="J19" si="64">J18*1.4</f>
        <v>306214.18826739426</v>
      </c>
      <c r="K19" s="30">
        <f t="shared" si="9"/>
        <v>0.2621415874005924</v>
      </c>
      <c r="L19" s="39">
        <f t="shared" si="63"/>
        <v>402663.01500682125</v>
      </c>
      <c r="M19" s="40">
        <f t="shared" ref="M19" si="65">M18*1.4</f>
        <v>319583.90177353343</v>
      </c>
      <c r="N19" s="30">
        <f t="shared" si="10"/>
        <v>0.25996025698490949</v>
      </c>
      <c r="O19" s="39">
        <f t="shared" si="63"/>
        <v>418840.36834924965</v>
      </c>
      <c r="P19" s="40">
        <f t="shared" ref="P19" si="66">P18*1.4</f>
        <v>332953.61527967255</v>
      </c>
      <c r="Q19" s="30">
        <f t="shared" si="11"/>
        <v>0.25795410870500507</v>
      </c>
      <c r="R19" s="39">
        <f t="shared" si="63"/>
        <v>435017.72169167805</v>
      </c>
      <c r="S19" s="40">
        <f t="shared" si="63"/>
        <v>346323.32878581173</v>
      </c>
      <c r="T19" s="30">
        <f t="shared" si="12"/>
        <v>0.25610285399145188</v>
      </c>
      <c r="U19" s="39">
        <f t="shared" si="63"/>
        <v>451195.07503410638</v>
      </c>
      <c r="V19" s="40">
        <f t="shared" ref="V19" si="67">V18*1.4</f>
        <v>359693.0422919509</v>
      </c>
      <c r="W19" s="54">
        <f t="shared" si="13"/>
        <v>0.25438922076198051</v>
      </c>
    </row>
    <row r="20" spans="1:23" x14ac:dyDescent="0.45">
      <c r="A20" s="11">
        <v>19</v>
      </c>
      <c r="B20" s="13" t="s">
        <v>46</v>
      </c>
      <c r="C20" s="39">
        <f>C18*35/100</f>
        <v>88532.738744884045</v>
      </c>
      <c r="D20" s="40">
        <f>D18*35/100</f>
        <v>69868.690313778992</v>
      </c>
      <c r="E20" s="30">
        <f t="shared" si="6"/>
        <v>0.26713036049888955</v>
      </c>
      <c r="F20" s="39">
        <f>F18*35/100</f>
        <v>92577.077080491144</v>
      </c>
      <c r="G20" s="40">
        <f>G18*35/100</f>
        <v>73211.118690313786</v>
      </c>
      <c r="H20" s="30">
        <f t="shared" si="7"/>
        <v>0.26452209359204309</v>
      </c>
      <c r="I20" s="39">
        <f t="shared" ref="I20:O20" si="68">I18*35/100</f>
        <v>96621.415416098214</v>
      </c>
      <c r="J20" s="40">
        <f t="shared" ref="J20" si="69">J18*35/100</f>
        <v>76553.547066848565</v>
      </c>
      <c r="K20" s="30">
        <f t="shared" si="9"/>
        <v>0.2621415874005924</v>
      </c>
      <c r="L20" s="39">
        <f t="shared" si="68"/>
        <v>100665.75375170533</v>
      </c>
      <c r="M20" s="40">
        <f t="shared" ref="M20" si="70">M18*35/100</f>
        <v>79895.975443383359</v>
      </c>
      <c r="N20" s="30">
        <f t="shared" si="10"/>
        <v>0.25996025698490965</v>
      </c>
      <c r="O20" s="39">
        <f t="shared" si="68"/>
        <v>104710.09208731241</v>
      </c>
      <c r="P20" s="40">
        <f t="shared" ref="P20" si="71">P18*35/100</f>
        <v>83238.403819918152</v>
      </c>
      <c r="Q20" s="30">
        <f t="shared" si="11"/>
        <v>0.25795410870500485</v>
      </c>
      <c r="R20" s="39">
        <f t="shared" ref="R20:U20" si="72">R18*35/100</f>
        <v>108754.43042291953</v>
      </c>
      <c r="S20" s="40">
        <f t="shared" si="72"/>
        <v>86580.832196452931</v>
      </c>
      <c r="T20" s="30">
        <f t="shared" si="12"/>
        <v>0.25610285399145205</v>
      </c>
      <c r="U20" s="39">
        <f t="shared" si="72"/>
        <v>112798.7687585266</v>
      </c>
      <c r="V20" s="40">
        <f t="shared" ref="V20" si="73">V18*35/100</f>
        <v>89923.260572987725</v>
      </c>
      <c r="W20" s="54">
        <f t="shared" si="13"/>
        <v>0.25438922076198051</v>
      </c>
    </row>
    <row r="21" spans="1:23" x14ac:dyDescent="0.45">
      <c r="A21" s="1">
        <v>20</v>
      </c>
      <c r="B21" s="1" t="s">
        <v>13</v>
      </c>
      <c r="C21" s="28">
        <f>C4*10/100</f>
        <v>5562385.5</v>
      </c>
      <c r="D21" s="29">
        <f>D4*10/100</f>
        <v>4389750</v>
      </c>
      <c r="E21" s="30">
        <f t="shared" si="6"/>
        <v>0.26713036049888944</v>
      </c>
      <c r="F21" s="28">
        <f>F4*10/100</f>
        <v>5816485.5</v>
      </c>
      <c r="G21" s="29">
        <f>G4*10/100</f>
        <v>4599750</v>
      </c>
      <c r="H21" s="30">
        <f t="shared" si="7"/>
        <v>0.26452209359204304</v>
      </c>
      <c r="I21" s="28">
        <f t="shared" ref="I21:O21" si="74">I4*10/100</f>
        <v>6070585.5</v>
      </c>
      <c r="J21" s="29">
        <f t="shared" ref="J21" si="75">J4*10/100</f>
        <v>4809750</v>
      </c>
      <c r="K21" s="30">
        <f t="shared" si="9"/>
        <v>0.26214158740059257</v>
      </c>
      <c r="L21" s="28">
        <f t="shared" si="74"/>
        <v>6324685.5</v>
      </c>
      <c r="M21" s="29">
        <f t="shared" ref="M21" si="76">M4*10/100</f>
        <v>5019750</v>
      </c>
      <c r="N21" s="30">
        <f t="shared" si="10"/>
        <v>0.2599602569849096</v>
      </c>
      <c r="O21" s="28">
        <f t="shared" si="74"/>
        <v>6578785.5</v>
      </c>
      <c r="P21" s="29">
        <f t="shared" ref="P21" si="77">P4*10/100</f>
        <v>5229750</v>
      </c>
      <c r="Q21" s="30">
        <f t="shared" si="11"/>
        <v>0.25795410870500501</v>
      </c>
      <c r="R21" s="28">
        <f t="shared" ref="R21:U21" si="78">R4*10/100</f>
        <v>6832885.5</v>
      </c>
      <c r="S21" s="29">
        <f t="shared" si="78"/>
        <v>5439750</v>
      </c>
      <c r="T21" s="30">
        <f t="shared" si="12"/>
        <v>0.25610285399145183</v>
      </c>
      <c r="U21" s="28">
        <f t="shared" si="78"/>
        <v>7086985.5</v>
      </c>
      <c r="V21" s="29">
        <f t="shared" ref="V21" si="79">V4*10/100</f>
        <v>5649750</v>
      </c>
      <c r="W21" s="54">
        <f t="shared" si="13"/>
        <v>0.25438922076198062</v>
      </c>
    </row>
    <row r="22" spans="1:23" x14ac:dyDescent="0.45">
      <c r="A22" s="1">
        <v>21</v>
      </c>
      <c r="B22" s="1" t="s">
        <v>14</v>
      </c>
      <c r="C22" s="28">
        <f>C4*15/100</f>
        <v>8343578.25</v>
      </c>
      <c r="D22" s="29">
        <f>D4*15/100</f>
        <v>6584625</v>
      </c>
      <c r="E22" s="30">
        <f t="shared" si="6"/>
        <v>0.26713036049888944</v>
      </c>
      <c r="F22" s="28">
        <f>F4*15/100</f>
        <v>8724728.25</v>
      </c>
      <c r="G22" s="29">
        <f>G4*15/100</f>
        <v>6899625</v>
      </c>
      <c r="H22" s="30">
        <f t="shared" si="7"/>
        <v>0.26452209359204304</v>
      </c>
      <c r="I22" s="28">
        <f t="shared" ref="I22:O22" si="80">I4*15/100</f>
        <v>9105878.25</v>
      </c>
      <c r="J22" s="29">
        <f t="shared" ref="J22" si="81">J4*15/100</f>
        <v>7214625</v>
      </c>
      <c r="K22" s="30">
        <f t="shared" si="9"/>
        <v>0.26214158740059257</v>
      </c>
      <c r="L22" s="28">
        <f t="shared" si="80"/>
        <v>9487028.25</v>
      </c>
      <c r="M22" s="29">
        <f t="shared" ref="M22" si="82">M4*15/100</f>
        <v>7529625</v>
      </c>
      <c r="N22" s="30">
        <f t="shared" si="10"/>
        <v>0.2599602569849096</v>
      </c>
      <c r="O22" s="28">
        <f t="shared" si="80"/>
        <v>9868178.25</v>
      </c>
      <c r="P22" s="29">
        <f t="shared" ref="P22" si="83">P4*15/100</f>
        <v>7844625</v>
      </c>
      <c r="Q22" s="30">
        <f t="shared" si="11"/>
        <v>0.25795410870500501</v>
      </c>
      <c r="R22" s="28">
        <f t="shared" ref="R22:U22" si="84">R4*15/100</f>
        <v>10249328.25</v>
      </c>
      <c r="S22" s="29">
        <f t="shared" si="84"/>
        <v>8159625</v>
      </c>
      <c r="T22" s="30">
        <f t="shared" si="12"/>
        <v>0.25610285399145183</v>
      </c>
      <c r="U22" s="28">
        <f t="shared" si="84"/>
        <v>10630478.25</v>
      </c>
      <c r="V22" s="29">
        <f t="shared" ref="V22" si="85">V4*15/100</f>
        <v>8474625</v>
      </c>
      <c r="W22" s="54">
        <f t="shared" si="13"/>
        <v>0.25438922076198062</v>
      </c>
    </row>
    <row r="23" spans="1:23" x14ac:dyDescent="0.45">
      <c r="A23" s="1">
        <v>22</v>
      </c>
      <c r="B23" s="1" t="s">
        <v>15</v>
      </c>
      <c r="C23" s="28">
        <f>C4*22.5/100</f>
        <v>12515367.375</v>
      </c>
      <c r="D23" s="29">
        <f>D4*22.5/100</f>
        <v>9876937.5</v>
      </c>
      <c r="E23" s="30">
        <f t="shared" si="6"/>
        <v>0.26713036049888944</v>
      </c>
      <c r="F23" s="28">
        <f>F4*22.5/100</f>
        <v>13087092.375</v>
      </c>
      <c r="G23" s="29">
        <f>G4*22.5/100</f>
        <v>10349437.5</v>
      </c>
      <c r="H23" s="30">
        <f t="shared" si="7"/>
        <v>0.26452209359204304</v>
      </c>
      <c r="I23" s="28">
        <f t="shared" ref="I23:O23" si="86">I4*22.5/100</f>
        <v>13658817.375</v>
      </c>
      <c r="J23" s="29">
        <f t="shared" ref="J23" si="87">J4*22.5/100</f>
        <v>10821937.5</v>
      </c>
      <c r="K23" s="30">
        <f t="shared" si="9"/>
        <v>0.26214158740059257</v>
      </c>
      <c r="L23" s="28">
        <f t="shared" si="86"/>
        <v>14230542.375</v>
      </c>
      <c r="M23" s="29">
        <f t="shared" ref="M23" si="88">M4*22.5/100</f>
        <v>11294437.5</v>
      </c>
      <c r="N23" s="30">
        <f t="shared" si="10"/>
        <v>0.2599602569849096</v>
      </c>
      <c r="O23" s="28">
        <f t="shared" si="86"/>
        <v>14802267.375</v>
      </c>
      <c r="P23" s="29">
        <f t="shared" ref="P23" si="89">P4*22.5/100</f>
        <v>11766937.5</v>
      </c>
      <c r="Q23" s="30">
        <f t="shared" si="11"/>
        <v>0.25795410870500501</v>
      </c>
      <c r="R23" s="28">
        <f t="shared" ref="R23:U23" si="90">R4*22.5/100</f>
        <v>15373992.375</v>
      </c>
      <c r="S23" s="29">
        <f t="shared" si="90"/>
        <v>12239437.5</v>
      </c>
      <c r="T23" s="30">
        <f t="shared" si="12"/>
        <v>0.25610285399145183</v>
      </c>
      <c r="U23" s="28">
        <f t="shared" si="90"/>
        <v>15945717.375</v>
      </c>
      <c r="V23" s="29">
        <f t="shared" ref="V23" si="91">V4*22.5/100</f>
        <v>12711937.5</v>
      </c>
      <c r="W23" s="54">
        <f t="shared" si="13"/>
        <v>0.25438922076198062</v>
      </c>
    </row>
    <row r="24" spans="1:23" x14ac:dyDescent="0.45">
      <c r="A24" s="1">
        <v>23</v>
      </c>
      <c r="B24" s="1" t="s">
        <v>16</v>
      </c>
      <c r="C24" s="28">
        <f>C18*40/100</f>
        <v>101180.27285129603</v>
      </c>
      <c r="D24" s="29">
        <f>D18*40/100</f>
        <v>79849.931787175985</v>
      </c>
      <c r="E24" s="30">
        <f t="shared" si="6"/>
        <v>0.26713036049888939</v>
      </c>
      <c r="F24" s="28">
        <f>F18*40/100</f>
        <v>105802.3738062756</v>
      </c>
      <c r="G24" s="29">
        <f>G18*40/100</f>
        <v>83669.849931787176</v>
      </c>
      <c r="H24" s="30">
        <f t="shared" si="7"/>
        <v>0.26452209359204332</v>
      </c>
      <c r="I24" s="28">
        <f t="shared" ref="I24:O24" si="92">I18*40/100</f>
        <v>110424.4747612551</v>
      </c>
      <c r="J24" s="29">
        <f t="shared" ref="J24" si="93">J18*40/100</f>
        <v>87489.768076398366</v>
      </c>
      <c r="K24" s="30">
        <f t="shared" si="9"/>
        <v>0.26214158740059229</v>
      </c>
      <c r="L24" s="28">
        <f t="shared" si="92"/>
        <v>115046.57571623466</v>
      </c>
      <c r="M24" s="29">
        <f t="shared" ref="M24" si="94">M18*40/100</f>
        <v>91309.686221009542</v>
      </c>
      <c r="N24" s="30">
        <f t="shared" si="10"/>
        <v>0.25996025698490977</v>
      </c>
      <c r="O24" s="28">
        <f t="shared" si="92"/>
        <v>119668.6766712142</v>
      </c>
      <c r="P24" s="29">
        <f t="shared" ref="P24" si="95">P18*40/100</f>
        <v>95129.604365620748</v>
      </c>
      <c r="Q24" s="30">
        <f t="shared" si="11"/>
        <v>0.25795410870500496</v>
      </c>
      <c r="R24" s="28">
        <f t="shared" ref="R24:U24" si="96">R18*40/100</f>
        <v>124290.77762619373</v>
      </c>
      <c r="S24" s="29">
        <f t="shared" si="96"/>
        <v>98949.522510231924</v>
      </c>
      <c r="T24" s="30">
        <f t="shared" si="12"/>
        <v>0.25610285399145183</v>
      </c>
      <c r="U24" s="28">
        <f t="shared" si="96"/>
        <v>128912.87858117325</v>
      </c>
      <c r="V24" s="29">
        <f t="shared" ref="V24" si="97">V18*40/100</f>
        <v>102769.44065484311</v>
      </c>
      <c r="W24" s="54">
        <f t="shared" si="13"/>
        <v>0.25438922076198051</v>
      </c>
    </row>
    <row r="25" spans="1:23" x14ac:dyDescent="0.45">
      <c r="A25" s="1">
        <v>24</v>
      </c>
      <c r="B25" s="1" t="s">
        <v>28</v>
      </c>
      <c r="C25" s="28">
        <f>(C4+C7+C10)/30</f>
        <v>2520795.1666666665</v>
      </c>
      <c r="D25" s="29">
        <f>(D4+D7+D10)/30</f>
        <v>1929916.6666666667</v>
      </c>
      <c r="E25" s="30">
        <f t="shared" si="6"/>
        <v>0.30616788289649799</v>
      </c>
      <c r="F25" s="28">
        <f>(F4+F7+F10)/30</f>
        <v>2605495.1666666665</v>
      </c>
      <c r="G25" s="29">
        <f>(G4+G7+G10)/30</f>
        <v>1999916.6666666667</v>
      </c>
      <c r="H25" s="30">
        <f t="shared" si="7"/>
        <v>0.30280186674444753</v>
      </c>
      <c r="I25" s="28">
        <f t="shared" ref="I25:O25" si="98">(I4+I7+I10)/30</f>
        <v>2690195.1666666665</v>
      </c>
      <c r="J25" s="29">
        <f t="shared" ref="J25" si="99">(J4+J7+J10)/30</f>
        <v>2069916.6666666667</v>
      </c>
      <c r="K25" s="30">
        <f t="shared" si="9"/>
        <v>0.29966351302387362</v>
      </c>
      <c r="L25" s="28">
        <f t="shared" si="98"/>
        <v>2774895.1666666665</v>
      </c>
      <c r="M25" s="29">
        <f t="shared" ref="M25" si="100">(M4+M7+M10)/30</f>
        <v>2139916.6666666665</v>
      </c>
      <c r="N25" s="30">
        <f t="shared" si="10"/>
        <v>0.2967304801588847</v>
      </c>
      <c r="O25" s="28">
        <f t="shared" si="98"/>
        <v>2859595.1666666665</v>
      </c>
      <c r="P25" s="29">
        <f t="shared" ref="P25" si="101">(P4+P7+P10)/30</f>
        <v>2209916.6666666665</v>
      </c>
      <c r="Q25" s="30">
        <f t="shared" si="11"/>
        <v>0.29398325728722807</v>
      </c>
      <c r="R25" s="28">
        <f t="shared" ref="R25:U25" si="102">(R4+R7+R10)/30</f>
        <v>2944295.1666666665</v>
      </c>
      <c r="S25" s="29">
        <f t="shared" si="102"/>
        <v>2279916.6666666665</v>
      </c>
      <c r="T25" s="30">
        <f t="shared" si="12"/>
        <v>0.29140472970503312</v>
      </c>
      <c r="U25" s="28">
        <f t="shared" si="102"/>
        <v>3028995.1666666665</v>
      </c>
      <c r="V25" s="29">
        <f t="shared" ref="V25" si="103">(V4+V7+V10)/30</f>
        <v>2349916.6666666665</v>
      </c>
      <c r="W25" s="54">
        <f t="shared" si="13"/>
        <v>0.28897982197950284</v>
      </c>
    </row>
    <row r="26" spans="1:23" x14ac:dyDescent="0.45">
      <c r="A26" s="1">
        <v>25</v>
      </c>
      <c r="B26" s="1" t="s">
        <v>29</v>
      </c>
      <c r="C26" s="28">
        <f>C25+(C11/30)</f>
        <v>2706208.0166666666</v>
      </c>
      <c r="D26" s="29">
        <f>D25+(D11/30)</f>
        <v>2076241.6666666667</v>
      </c>
      <c r="E26" s="30">
        <f t="shared" si="6"/>
        <v>0.30341667837318226</v>
      </c>
      <c r="F26" s="28">
        <f>F25+(F11/30)</f>
        <v>2799378.0166666666</v>
      </c>
      <c r="G26" s="29">
        <f>G25+(G11/30)</f>
        <v>2153241.666666667</v>
      </c>
      <c r="H26" s="30">
        <f t="shared" si="7"/>
        <v>0.30007609457058909</v>
      </c>
      <c r="I26" s="28">
        <f t="shared" ref="I26:U26" si="104">I25+(I11/30)</f>
        <v>2892548.0166666666</v>
      </c>
      <c r="J26" s="29">
        <f t="shared" ref="J26" si="105">J25+(J11/30)</f>
        <v>2230241.666666667</v>
      </c>
      <c r="K26" s="30">
        <f t="shared" si="9"/>
        <v>0.29696618079505566</v>
      </c>
      <c r="L26" s="28">
        <f t="shared" si="104"/>
        <v>2985718.0166666666</v>
      </c>
      <c r="M26" s="29">
        <f t="shared" ref="M26" si="106">M25+(M11/30)</f>
        <v>2307241.6666666665</v>
      </c>
      <c r="N26" s="30">
        <f t="shared" si="10"/>
        <v>0.29406384246701517</v>
      </c>
      <c r="O26" s="28">
        <f t="shared" si="104"/>
        <v>3078888.0166666666</v>
      </c>
      <c r="P26" s="29">
        <f t="shared" ref="P26" si="107">P25+(P11/30)</f>
        <v>2384241.6666666665</v>
      </c>
      <c r="Q26" s="30">
        <f t="shared" si="11"/>
        <v>0.29134896840015523</v>
      </c>
      <c r="R26" s="28">
        <f t="shared" si="104"/>
        <v>3172058.0166666666</v>
      </c>
      <c r="S26" s="29">
        <f t="shared" si="104"/>
        <v>2461241.6666666665</v>
      </c>
      <c r="T26" s="30">
        <f t="shared" si="12"/>
        <v>0.28880396412379938</v>
      </c>
      <c r="U26" s="28">
        <f t="shared" si="104"/>
        <v>3265228.0166666666</v>
      </c>
      <c r="V26" s="29">
        <f t="shared" ref="V26" si="108">V25+(V11/30)</f>
        <v>2538241.6666666665</v>
      </c>
      <c r="W26" s="54">
        <f t="shared" si="13"/>
        <v>0.28641337014796991</v>
      </c>
    </row>
    <row r="27" spans="1:23" x14ac:dyDescent="0.45">
      <c r="A27" s="1">
        <v>26</v>
      </c>
      <c r="B27" s="1" t="s">
        <v>30</v>
      </c>
      <c r="C27" s="28">
        <f>C25+(C12/30)</f>
        <v>2891620.8666666667</v>
      </c>
      <c r="D27" s="29">
        <f>D25+(D12/30)</f>
        <v>2222566.666666667</v>
      </c>
      <c r="E27" s="30">
        <f t="shared" si="6"/>
        <v>0.30102773070174105</v>
      </c>
      <c r="F27" s="28">
        <f>F25+(F12/30)</f>
        <v>2993260.8666666667</v>
      </c>
      <c r="G27" s="29">
        <f>G25+(G12/30)</f>
        <v>2306566.666666667</v>
      </c>
      <c r="H27" s="30">
        <f t="shared" si="7"/>
        <v>0.29771270430799007</v>
      </c>
      <c r="I27" s="28">
        <f t="shared" ref="I27:O27" si="109">I25+(I12/30)</f>
        <v>3094900.8666666667</v>
      </c>
      <c r="J27" s="29">
        <f t="shared" ref="J27" si="110">J25+(J12/30)</f>
        <v>2390566.666666667</v>
      </c>
      <c r="K27" s="30">
        <f t="shared" si="9"/>
        <v>0.29463064545365797</v>
      </c>
      <c r="L27" s="28">
        <f t="shared" si="109"/>
        <v>3196540.8666666667</v>
      </c>
      <c r="M27" s="29">
        <f t="shared" ref="M27" si="111">M25+(M12/30)</f>
        <v>2474566.6666666665</v>
      </c>
      <c r="N27" s="30">
        <f t="shared" si="10"/>
        <v>0.29175782965367686</v>
      </c>
      <c r="O27" s="28">
        <f t="shared" si="109"/>
        <v>3298180.8666666667</v>
      </c>
      <c r="P27" s="29">
        <f t="shared" ref="P27" si="112">P25+(P12/30)</f>
        <v>2558566.6666666665</v>
      </c>
      <c r="Q27" s="30">
        <f t="shared" si="11"/>
        <v>0.28907364800604513</v>
      </c>
      <c r="R27" s="28">
        <f t="shared" ref="R27:U27" si="113">R25+(R12/30)</f>
        <v>3399820.8666666667</v>
      </c>
      <c r="S27" s="29">
        <f t="shared" si="113"/>
        <v>2642566.6666666665</v>
      </c>
      <c r="T27" s="30">
        <f t="shared" si="12"/>
        <v>0.28656011201231135</v>
      </c>
      <c r="U27" s="28">
        <f t="shared" si="113"/>
        <v>3501460.8666666667</v>
      </c>
      <c r="V27" s="29">
        <f t="shared" ref="V27" si="114">V25+(V12/30)</f>
        <v>2726566.6666666665</v>
      </c>
      <c r="W27" s="54">
        <f t="shared" si="13"/>
        <v>0.28420144993092666</v>
      </c>
    </row>
    <row r="28" spans="1:23" x14ac:dyDescent="0.45">
      <c r="A28" s="1">
        <v>27</v>
      </c>
      <c r="B28" s="1" t="s">
        <v>31</v>
      </c>
      <c r="C28" s="28">
        <f>C25+(C13/30)</f>
        <v>3077033.7166666668</v>
      </c>
      <c r="D28" s="29">
        <f>D25+(D13/30)</f>
        <v>2368891.666666667</v>
      </c>
      <c r="E28" s="30">
        <f t="shared" si="6"/>
        <v>0.29893391072477626</v>
      </c>
      <c r="F28" s="28">
        <f>F25+(F13/30)</f>
        <v>3187143.7166666668</v>
      </c>
      <c r="G28" s="29">
        <f>G25+(G13/30)</f>
        <v>2459891.666666667</v>
      </c>
      <c r="H28" s="30">
        <f t="shared" si="7"/>
        <v>0.29564393418409335</v>
      </c>
      <c r="I28" s="28">
        <f t="shared" ref="I28:O28" si="115">I25+(I13/30)</f>
        <v>3297253.7166666668</v>
      </c>
      <c r="J28" s="29">
        <f t="shared" ref="J28" si="116">J25+(J13/30)</f>
        <v>2550891.666666667</v>
      </c>
      <c r="K28" s="30">
        <f t="shared" si="9"/>
        <v>0.29258868957586714</v>
      </c>
      <c r="L28" s="28">
        <f t="shared" si="115"/>
        <v>3407363.7166666668</v>
      </c>
      <c r="M28" s="29">
        <f t="shared" ref="M28" si="117">M25+(M13/30)</f>
        <v>2641891.6666666665</v>
      </c>
      <c r="N28" s="30">
        <f t="shared" si="10"/>
        <v>0.28974392086478451</v>
      </c>
      <c r="O28" s="28">
        <f t="shared" si="115"/>
        <v>3517473.7166666668</v>
      </c>
      <c r="P28" s="29">
        <f t="shared" ref="P28" si="118">P25+(P13/30)</f>
        <v>2732891.6666666665</v>
      </c>
      <c r="Q28" s="30">
        <f t="shared" si="11"/>
        <v>0.28708860273153908</v>
      </c>
      <c r="R28" s="28">
        <f t="shared" ref="R28:U28" si="119">R25+(R13/30)</f>
        <v>3627583.7166666668</v>
      </c>
      <c r="S28" s="29">
        <f t="shared" si="119"/>
        <v>2823891.6666666665</v>
      </c>
      <c r="T28" s="30">
        <f t="shared" si="12"/>
        <v>0.28460442002319508</v>
      </c>
      <c r="U28" s="28">
        <f t="shared" si="119"/>
        <v>3737693.7166666668</v>
      </c>
      <c r="V28" s="29">
        <f t="shared" ref="V28" si="120">V25+(V13/30)</f>
        <v>2914891.6666666665</v>
      </c>
      <c r="W28" s="54">
        <f t="shared" si="13"/>
        <v>0.28227534470978061</v>
      </c>
    </row>
    <row r="29" spans="1:23" ht="18.75" thickBot="1" x14ac:dyDescent="0.5">
      <c r="C29" s="28"/>
      <c r="D29" s="29"/>
      <c r="E29" s="30"/>
      <c r="F29" s="28"/>
      <c r="G29" s="29"/>
      <c r="H29" s="30"/>
      <c r="I29" s="28"/>
      <c r="J29" s="29"/>
      <c r="K29" s="30"/>
      <c r="L29" s="28"/>
      <c r="M29" s="29"/>
      <c r="N29" s="30"/>
      <c r="O29" s="28"/>
      <c r="P29" s="29"/>
      <c r="Q29" s="30"/>
      <c r="R29" s="28"/>
      <c r="S29" s="29"/>
      <c r="T29" s="30"/>
      <c r="U29" s="28"/>
      <c r="V29" s="29"/>
      <c r="W29" s="54"/>
    </row>
    <row r="30" spans="1:23" x14ac:dyDescent="0.45">
      <c r="B30" s="15" t="s">
        <v>39</v>
      </c>
      <c r="C30" s="41">
        <f>C4+C7+C10+C15+C17</f>
        <v>89529818.75</v>
      </c>
      <c r="D30" s="16">
        <f>D4+D7+D10+D15+D17</f>
        <v>68871875</v>
      </c>
      <c r="E30" s="30">
        <f t="shared" si="6"/>
        <v>0.29994745678116069</v>
      </c>
      <c r="F30" s="41">
        <f>F4+F7+F10+F15+F17</f>
        <v>92706068.75</v>
      </c>
      <c r="G30" s="16">
        <f>G4+G7+G10+G15+G17</f>
        <v>71496875</v>
      </c>
      <c r="H30" s="30">
        <f t="shared" si="7"/>
        <v>0.29664504567507322</v>
      </c>
      <c r="I30" s="41">
        <f t="shared" ref="I30:O30" si="121">I4+I7+I10+I15+I17</f>
        <v>95882318.75</v>
      </c>
      <c r="J30" s="16">
        <f t="shared" ref="J30" si="122">J4+J7+J10+J15+J17</f>
        <v>74121875</v>
      </c>
      <c r="K30" s="30">
        <f t="shared" si="9"/>
        <v>0.29357654201273242</v>
      </c>
      <c r="L30" s="41">
        <f t="shared" si="121"/>
        <v>99058568.75</v>
      </c>
      <c r="M30" s="16">
        <f t="shared" ref="M30" si="123">M4+M7+M10+M15+M17</f>
        <v>76746875</v>
      </c>
      <c r="N30" s="30">
        <f t="shared" si="10"/>
        <v>0.29071794454171584</v>
      </c>
      <c r="O30" s="41">
        <f t="shared" si="121"/>
        <v>102234818.75</v>
      </c>
      <c r="P30" s="16">
        <f t="shared" ref="P30" si="124">P4+P7+P10+P15+P17</f>
        <v>79371875</v>
      </c>
      <c r="Q30" s="30">
        <f t="shared" si="11"/>
        <v>0.28804842710342926</v>
      </c>
      <c r="R30" s="41">
        <f t="shared" ref="R30:U30" si="125">R4+R7+R10+R15+R17</f>
        <v>105411068.75</v>
      </c>
      <c r="S30" s="16">
        <f t="shared" si="125"/>
        <v>81996875</v>
      </c>
      <c r="T30" s="30">
        <f t="shared" si="12"/>
        <v>0.28554983040512216</v>
      </c>
      <c r="U30" s="41">
        <f t="shared" si="125"/>
        <v>108587318.75</v>
      </c>
      <c r="V30" s="16">
        <f t="shared" ref="V30" si="126">V4+V7+V10+V15+V17</f>
        <v>84621875</v>
      </c>
      <c r="W30" s="54">
        <f t="shared" si="13"/>
        <v>0.28320624838435687</v>
      </c>
    </row>
    <row r="31" spans="1:23" x14ac:dyDescent="0.45">
      <c r="B31" s="17" t="s">
        <v>27</v>
      </c>
      <c r="C31" s="42">
        <f>(C4+C10)*23/100</f>
        <v>14863486.65</v>
      </c>
      <c r="D31" s="18">
        <f>(D4+D10)*23/100</f>
        <v>11361425</v>
      </c>
      <c r="E31" s="30">
        <f t="shared" si="6"/>
        <v>0.30824140897818719</v>
      </c>
      <c r="F31" s="42">
        <f>(F4+F10)*23/100</f>
        <v>15447916.65</v>
      </c>
      <c r="G31" s="18">
        <f>(G4+G10)*23/100</f>
        <v>11844425</v>
      </c>
      <c r="H31" s="30">
        <f t="shared" si="7"/>
        <v>0.30423525413855046</v>
      </c>
      <c r="I31" s="42">
        <f t="shared" ref="I31:O31" si="127">(I4+I10)*23/100</f>
        <v>16032346.65</v>
      </c>
      <c r="J31" s="18">
        <f t="shared" ref="J31" si="128">(J4+J10)*23/100</f>
        <v>12327425</v>
      </c>
      <c r="K31" s="30">
        <f t="shared" si="9"/>
        <v>0.30054302905919122</v>
      </c>
      <c r="L31" s="42">
        <f t="shared" si="127"/>
        <v>16616776.65</v>
      </c>
      <c r="M31" s="18">
        <f t="shared" ref="M31" si="129">(M4+M10)*23/100</f>
        <v>12810425</v>
      </c>
      <c r="N31" s="30">
        <f t="shared" si="10"/>
        <v>0.29712922483055798</v>
      </c>
      <c r="O31" s="42">
        <f t="shared" si="127"/>
        <v>17201206.649999999</v>
      </c>
      <c r="P31" s="18">
        <f t="shared" ref="P31" si="130">(P4+P10)*23/100</f>
        <v>13293425</v>
      </c>
      <c r="Q31" s="30">
        <f t="shared" si="11"/>
        <v>0.29396349323067594</v>
      </c>
      <c r="R31" s="42">
        <f t="shared" ref="R31:U31" si="131">(R4+R10)*23/100</f>
        <v>17785636.649999999</v>
      </c>
      <c r="S31" s="18">
        <f t="shared" si="131"/>
        <v>13776425</v>
      </c>
      <c r="T31" s="30">
        <f t="shared" si="12"/>
        <v>0.29101974205935127</v>
      </c>
      <c r="U31" s="42">
        <f t="shared" si="131"/>
        <v>18370066.649999999</v>
      </c>
      <c r="V31" s="18">
        <f t="shared" ref="V31" si="132">(V4+V10)*23/100</f>
        <v>14259425</v>
      </c>
      <c r="W31" s="54">
        <f t="shared" si="13"/>
        <v>0.28827541433122295</v>
      </c>
    </row>
    <row r="32" spans="1:23" ht="18.75" thickBot="1" x14ac:dyDescent="0.5">
      <c r="B32" s="20" t="s">
        <v>38</v>
      </c>
      <c r="C32" s="43">
        <f>C30+C31</f>
        <v>104393305.40000001</v>
      </c>
      <c r="D32" s="22">
        <f>D30+D31</f>
        <v>80233300</v>
      </c>
      <c r="E32" s="30">
        <f t="shared" si="6"/>
        <v>0.30112192069876231</v>
      </c>
      <c r="F32" s="43">
        <f>F30+F31</f>
        <v>108153985.40000001</v>
      </c>
      <c r="G32" s="22">
        <f>G30+G31</f>
        <v>83341300</v>
      </c>
      <c r="H32" s="30">
        <f t="shared" si="7"/>
        <v>0.29772376240831383</v>
      </c>
      <c r="I32" s="43">
        <f t="shared" ref="I32:U32" si="133">I30+I31</f>
        <v>111914665.40000001</v>
      </c>
      <c r="J32" s="22">
        <f t="shared" ref="J32" si="134">J30+J31</f>
        <v>86449300</v>
      </c>
      <c r="K32" s="30">
        <f t="shared" si="9"/>
        <v>0.29456994330781172</v>
      </c>
      <c r="L32" s="43">
        <f t="shared" si="133"/>
        <v>115675345.40000001</v>
      </c>
      <c r="M32" s="22">
        <f t="shared" ref="M32" si="135">M30+M31</f>
        <v>89557300</v>
      </c>
      <c r="N32" s="30">
        <f t="shared" si="10"/>
        <v>0.29163502472718589</v>
      </c>
      <c r="O32" s="43">
        <f t="shared" si="133"/>
        <v>119436025.40000001</v>
      </c>
      <c r="P32" s="22">
        <f t="shared" ref="P32" si="136">P30+P31</f>
        <v>92665300</v>
      </c>
      <c r="Q32" s="30">
        <f t="shared" si="11"/>
        <v>0.28889698085475368</v>
      </c>
      <c r="R32" s="43">
        <f t="shared" si="133"/>
        <v>123196705.40000001</v>
      </c>
      <c r="S32" s="22">
        <f t="shared" si="133"/>
        <v>95773300</v>
      </c>
      <c r="T32" s="30">
        <f t="shared" si="12"/>
        <v>0.28633664497307709</v>
      </c>
      <c r="U32" s="43">
        <f t="shared" si="133"/>
        <v>126957385.40000001</v>
      </c>
      <c r="V32" s="22">
        <f t="shared" ref="V32" si="137">V30+V31</f>
        <v>98881300</v>
      </c>
      <c r="W32" s="54">
        <f t="shared" si="13"/>
        <v>0.2839372601290639</v>
      </c>
    </row>
    <row r="33" spans="2:23" ht="18.75" thickBot="1" x14ac:dyDescent="0.5">
      <c r="C33" s="28"/>
      <c r="D33" s="29"/>
      <c r="E33" s="30"/>
      <c r="F33" s="28"/>
      <c r="G33" s="29"/>
      <c r="H33" s="30"/>
      <c r="I33" s="28"/>
      <c r="J33" s="29"/>
      <c r="K33" s="30"/>
      <c r="L33" s="28"/>
      <c r="M33" s="29"/>
      <c r="N33" s="30"/>
      <c r="O33" s="28"/>
      <c r="P33" s="29"/>
      <c r="Q33" s="30"/>
      <c r="R33" s="28"/>
      <c r="S33" s="29"/>
      <c r="T33" s="30"/>
      <c r="U33" s="28"/>
      <c r="V33" s="29"/>
      <c r="W33" s="54"/>
    </row>
    <row r="34" spans="2:23" s="12" customFormat="1" x14ac:dyDescent="0.45">
      <c r="B34" s="47" t="s">
        <v>36</v>
      </c>
      <c r="C34" s="48">
        <f>(C4+C7+C10)</f>
        <v>75623855</v>
      </c>
      <c r="D34" s="49">
        <f>(D4+D7+D10)</f>
        <v>57897500</v>
      </c>
      <c r="E34" s="50">
        <f t="shared" si="6"/>
        <v>0.3061678828964981</v>
      </c>
      <c r="F34" s="48">
        <f>(F4+F7+F10)</f>
        <v>78164855</v>
      </c>
      <c r="G34" s="49">
        <f>(G4+G7+G10)</f>
        <v>59997500</v>
      </c>
      <c r="H34" s="50">
        <f t="shared" si="7"/>
        <v>0.3028018667444477</v>
      </c>
      <c r="I34" s="48">
        <f t="shared" ref="I34:O34" si="138">(I4+I7+I10)</f>
        <v>80705855</v>
      </c>
      <c r="J34" s="49">
        <f t="shared" ref="J34" si="139">(J4+J7+J10)</f>
        <v>62097500</v>
      </c>
      <c r="K34" s="52">
        <f t="shared" si="9"/>
        <v>0.29966351302387373</v>
      </c>
      <c r="L34" s="48">
        <f t="shared" si="138"/>
        <v>83246855</v>
      </c>
      <c r="M34" s="49">
        <f t="shared" ref="M34" si="140">(M4+M7+M10)</f>
        <v>64197500</v>
      </c>
      <c r="N34" s="52">
        <f t="shared" si="10"/>
        <v>0.2967304801588847</v>
      </c>
      <c r="O34" s="48">
        <f t="shared" si="138"/>
        <v>85787855</v>
      </c>
      <c r="P34" s="49">
        <f t="shared" ref="P34" si="141">(P4+P7+P10)</f>
        <v>66297500</v>
      </c>
      <c r="Q34" s="52">
        <f t="shared" si="11"/>
        <v>0.29398325728722802</v>
      </c>
      <c r="R34" s="48">
        <f t="shared" ref="R34:U34" si="142">(R4+R7+R10)</f>
        <v>88328855</v>
      </c>
      <c r="S34" s="49">
        <f t="shared" si="142"/>
        <v>68397500</v>
      </c>
      <c r="T34" s="52">
        <f t="shared" si="12"/>
        <v>0.29140472970503306</v>
      </c>
      <c r="U34" s="48">
        <f t="shared" si="142"/>
        <v>90869855</v>
      </c>
      <c r="V34" s="49">
        <f t="shared" ref="V34" si="143">(V4+V7+V10)</f>
        <v>70497500</v>
      </c>
      <c r="W34" s="55">
        <f t="shared" si="13"/>
        <v>0.28897982197950284</v>
      </c>
    </row>
    <row r="35" spans="2:23" x14ac:dyDescent="0.45">
      <c r="B35" s="17"/>
      <c r="C35" s="44"/>
      <c r="D35" s="19"/>
      <c r="E35" s="30"/>
      <c r="F35" s="44"/>
      <c r="G35" s="19"/>
      <c r="H35" s="30"/>
      <c r="I35" s="44"/>
      <c r="J35" s="19"/>
      <c r="K35" s="30"/>
      <c r="L35" s="44"/>
      <c r="M35" s="19"/>
      <c r="N35" s="30"/>
      <c r="O35" s="44"/>
      <c r="P35" s="19"/>
      <c r="Q35" s="30"/>
      <c r="R35" s="44"/>
      <c r="S35" s="19"/>
      <c r="T35" s="30"/>
      <c r="U35" s="44"/>
      <c r="V35" s="19"/>
      <c r="W35" s="54"/>
    </row>
    <row r="36" spans="2:23" x14ac:dyDescent="0.45">
      <c r="B36" s="17" t="s">
        <v>43</v>
      </c>
      <c r="C36" s="44">
        <f>C34+C11</f>
        <v>81186240.5</v>
      </c>
      <c r="D36" s="19">
        <f>D34+D11</f>
        <v>62287250</v>
      </c>
      <c r="E36" s="51">
        <f t="shared" si="6"/>
        <v>0.30341667837318231</v>
      </c>
      <c r="F36" s="44">
        <f>F34+F11</f>
        <v>83981340.5</v>
      </c>
      <c r="G36" s="19">
        <f>G34+G11</f>
        <v>64597250</v>
      </c>
      <c r="H36" s="51">
        <f t="shared" si="7"/>
        <v>0.30007609457058931</v>
      </c>
      <c r="I36" s="44">
        <f t="shared" ref="I36:O36" si="144">I34+I11</f>
        <v>86776440.5</v>
      </c>
      <c r="J36" s="19">
        <f t="shared" ref="J36" si="145">J34+J11</f>
        <v>66907250</v>
      </c>
      <c r="K36" s="51">
        <f t="shared" si="9"/>
        <v>0.29696618079505582</v>
      </c>
      <c r="L36" s="44">
        <f t="shared" si="144"/>
        <v>89571540.5</v>
      </c>
      <c r="M36" s="19">
        <f t="shared" ref="M36" si="146">M34+M11</f>
        <v>69217250</v>
      </c>
      <c r="N36" s="51">
        <f t="shared" si="10"/>
        <v>0.29406384246701511</v>
      </c>
      <c r="O36" s="44">
        <f t="shared" si="144"/>
        <v>92366640.5</v>
      </c>
      <c r="P36" s="19">
        <f t="shared" ref="P36" si="147">P34+P11</f>
        <v>71527250</v>
      </c>
      <c r="Q36" s="51">
        <f t="shared" si="11"/>
        <v>0.29134896840015517</v>
      </c>
      <c r="R36" s="44">
        <f t="shared" ref="R36:U36" si="148">R34+R11</f>
        <v>95161740.5</v>
      </c>
      <c r="S36" s="19">
        <f t="shared" si="148"/>
        <v>73837250</v>
      </c>
      <c r="T36" s="51">
        <f t="shared" si="12"/>
        <v>0.28880396412379933</v>
      </c>
      <c r="U36" s="44">
        <f t="shared" si="148"/>
        <v>97956840.5</v>
      </c>
      <c r="V36" s="19">
        <f t="shared" ref="V36" si="149">V34+V11</f>
        <v>76147250</v>
      </c>
      <c r="W36" s="56">
        <f t="shared" si="13"/>
        <v>0.28641337014796991</v>
      </c>
    </row>
    <row r="37" spans="2:23" x14ac:dyDescent="0.45">
      <c r="B37" s="17" t="s">
        <v>44</v>
      </c>
      <c r="C37" s="44">
        <f>C34+C12</f>
        <v>86748626</v>
      </c>
      <c r="D37" s="19">
        <f>D34+D12</f>
        <v>66677000</v>
      </c>
      <c r="E37" s="51">
        <f t="shared" si="6"/>
        <v>0.30102773070174121</v>
      </c>
      <c r="F37" s="44">
        <f>F34+F12</f>
        <v>89797826</v>
      </c>
      <c r="G37" s="19">
        <f>G34+G12</f>
        <v>69197000</v>
      </c>
      <c r="H37" s="51">
        <f t="shared" si="7"/>
        <v>0.29771270430799024</v>
      </c>
      <c r="I37" s="44">
        <f t="shared" ref="I37:O37" si="150">I34+I12</f>
        <v>92847026</v>
      </c>
      <c r="J37" s="19">
        <f t="shared" ref="J37" si="151">J34+J12</f>
        <v>71717000</v>
      </c>
      <c r="K37" s="51">
        <f t="shared" si="9"/>
        <v>0.29463064545365814</v>
      </c>
      <c r="L37" s="44">
        <f t="shared" si="150"/>
        <v>95896226</v>
      </c>
      <c r="M37" s="19">
        <f t="shared" ref="M37" si="152">M34+M12</f>
        <v>74237000</v>
      </c>
      <c r="N37" s="51">
        <f t="shared" si="10"/>
        <v>0.29175782965367675</v>
      </c>
      <c r="O37" s="44">
        <f t="shared" si="150"/>
        <v>98945426</v>
      </c>
      <c r="P37" s="19">
        <f t="shared" ref="P37" si="153">P34+P12</f>
        <v>76757000</v>
      </c>
      <c r="Q37" s="51">
        <f t="shared" si="11"/>
        <v>0.28907364800604507</v>
      </c>
      <c r="R37" s="44">
        <f t="shared" ref="R37:U37" si="154">R34+R12</f>
        <v>101994626</v>
      </c>
      <c r="S37" s="19">
        <f t="shared" si="154"/>
        <v>79277000</v>
      </c>
      <c r="T37" s="51">
        <f t="shared" si="12"/>
        <v>0.28656011201231124</v>
      </c>
      <c r="U37" s="44">
        <f t="shared" si="154"/>
        <v>105043826</v>
      </c>
      <c r="V37" s="19">
        <f t="shared" ref="V37" si="155">V34+V12</f>
        <v>81797000</v>
      </c>
      <c r="W37" s="56">
        <f t="shared" si="13"/>
        <v>0.28420144993092655</v>
      </c>
    </row>
    <row r="38" spans="2:23" ht="18.75" thickBot="1" x14ac:dyDescent="0.5">
      <c r="B38" s="20" t="s">
        <v>45</v>
      </c>
      <c r="C38" s="45">
        <f>C34+C13</f>
        <v>92311011.5</v>
      </c>
      <c r="D38" s="21">
        <f>D34+D13</f>
        <v>71066750</v>
      </c>
      <c r="E38" s="57">
        <f t="shared" si="6"/>
        <v>0.29893391072477637</v>
      </c>
      <c r="F38" s="45">
        <f>F34+F13</f>
        <v>95614311.5</v>
      </c>
      <c r="G38" s="21">
        <f>G34+G13</f>
        <v>73796750</v>
      </c>
      <c r="H38" s="57">
        <f t="shared" si="7"/>
        <v>0.29564393418409346</v>
      </c>
      <c r="I38" s="45">
        <f t="shared" ref="I38:O38" si="156">I34+I13</f>
        <v>98917611.5</v>
      </c>
      <c r="J38" s="21">
        <f t="shared" ref="J38" si="157">J34+J13</f>
        <v>76526750</v>
      </c>
      <c r="K38" s="57">
        <f t="shared" si="9"/>
        <v>0.29258868957586726</v>
      </c>
      <c r="L38" s="45">
        <f t="shared" si="156"/>
        <v>102220911.5</v>
      </c>
      <c r="M38" s="21">
        <f t="shared" ref="M38" si="158">M34+M13</f>
        <v>79256750</v>
      </c>
      <c r="N38" s="57">
        <f t="shared" si="10"/>
        <v>0.2897439208647844</v>
      </c>
      <c r="O38" s="45">
        <f t="shared" si="156"/>
        <v>105524211.5</v>
      </c>
      <c r="P38" s="21">
        <f t="shared" ref="P38" si="159">P34+P13</f>
        <v>81986750</v>
      </c>
      <c r="Q38" s="57">
        <f t="shared" si="11"/>
        <v>0.28708860273153891</v>
      </c>
      <c r="R38" s="45">
        <f t="shared" ref="R38:U38" si="160">R34+R13</f>
        <v>108827511.5</v>
      </c>
      <c r="S38" s="21">
        <f t="shared" si="160"/>
        <v>84716750</v>
      </c>
      <c r="T38" s="57">
        <f t="shared" si="12"/>
        <v>0.28460442002319492</v>
      </c>
      <c r="U38" s="45">
        <f t="shared" si="160"/>
        <v>112130811.5</v>
      </c>
      <c r="V38" s="21">
        <f t="shared" ref="V38" si="161">V34+V13</f>
        <v>87446750</v>
      </c>
      <c r="W38" s="58">
        <f t="shared" si="13"/>
        <v>0.28227534470978055</v>
      </c>
    </row>
    <row r="40" spans="2:23" x14ac:dyDescent="0.45">
      <c r="C40" s="24"/>
      <c r="D40" s="24"/>
      <c r="E40" s="24"/>
      <c r="I40" s="24"/>
      <c r="J40" s="24"/>
      <c r="K40" s="24"/>
      <c r="O40" s="24"/>
      <c r="P40" s="24"/>
      <c r="Q40" s="24"/>
      <c r="R40" s="24"/>
      <c r="S40" s="24"/>
      <c r="T40" s="24"/>
      <c r="U40" s="24"/>
    </row>
  </sheetData>
  <mergeCells count="7">
    <mergeCell ref="R2:T2"/>
    <mergeCell ref="U2:W2"/>
    <mergeCell ref="C2:E2"/>
    <mergeCell ref="F2:H2"/>
    <mergeCell ref="I2:K2"/>
    <mergeCell ref="L2:N2"/>
    <mergeCell ref="O2:Q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workbookViewId="0">
      <selection activeCell="C3" sqref="C3"/>
    </sheetView>
  </sheetViews>
  <sheetFormatPr defaultRowHeight="15" x14ac:dyDescent="0.25"/>
  <cols>
    <col min="1" max="1" width="4.140625" bestFit="1" customWidth="1"/>
    <col min="2" max="2" width="48" bestFit="1" customWidth="1"/>
    <col min="3" max="3" width="15.7109375" customWidth="1"/>
    <col min="6" max="6" width="42.28515625" bestFit="1" customWidth="1"/>
    <col min="7" max="7" width="15.42578125" bestFit="1" customWidth="1"/>
  </cols>
  <sheetData>
    <row r="1" spans="1:7" s="1" customFormat="1" ht="18" x14ac:dyDescent="0.45">
      <c r="A1" s="1" t="s">
        <v>0</v>
      </c>
      <c r="B1" s="1" t="s">
        <v>1</v>
      </c>
      <c r="C1" s="1" t="s">
        <v>2</v>
      </c>
    </row>
    <row r="2" spans="1:7" ht="19.5" x14ac:dyDescent="0.5">
      <c r="A2" s="9"/>
      <c r="B2" s="9" t="s">
        <v>17</v>
      </c>
      <c r="C2" s="5">
        <f>'حقوق سالیانه'!C18</f>
        <v>252950.68212824009</v>
      </c>
    </row>
    <row r="3" spans="1:7" ht="19.5" x14ac:dyDescent="0.5">
      <c r="A3" s="1">
        <v>1</v>
      </c>
      <c r="B3" s="1" t="s">
        <v>19</v>
      </c>
      <c r="C3" s="7">
        <f>('حقوق سالیانه'!C7/30)/7.33</f>
        <v>50022.737608003641</v>
      </c>
    </row>
    <row r="4" spans="1:7" ht="19.5" x14ac:dyDescent="0.5">
      <c r="A4" s="1">
        <v>2</v>
      </c>
      <c r="B4" s="1" t="s">
        <v>18</v>
      </c>
      <c r="C4" s="7">
        <f>('حقوق سالیانه'!C10/30)/7.33</f>
        <v>40927.694406548428</v>
      </c>
    </row>
    <row r="5" spans="1:7" ht="19.5" x14ac:dyDescent="0.5">
      <c r="A5" s="1">
        <v>3</v>
      </c>
      <c r="B5" s="1" t="s">
        <v>20</v>
      </c>
      <c r="C5" s="7">
        <f>('حقوق سالیانه'!C11/30)/7.33</f>
        <v>25295.068212824011</v>
      </c>
    </row>
    <row r="6" spans="1:7" ht="19.5" x14ac:dyDescent="0.5">
      <c r="A6" s="1">
        <v>4</v>
      </c>
      <c r="B6" s="1" t="s">
        <v>21</v>
      </c>
      <c r="C6" s="7">
        <f>C5*2</f>
        <v>50590.136425648023</v>
      </c>
    </row>
    <row r="7" spans="1:7" ht="19.5" x14ac:dyDescent="0.5">
      <c r="A7" s="1">
        <v>5</v>
      </c>
      <c r="B7" s="1" t="s">
        <v>22</v>
      </c>
      <c r="C7" s="7">
        <f>C5*3</f>
        <v>75885.204638472031</v>
      </c>
    </row>
    <row r="8" spans="1:7" ht="19.5" x14ac:dyDescent="0.5">
      <c r="A8" s="1">
        <v>6</v>
      </c>
      <c r="B8" s="1" t="s">
        <v>23</v>
      </c>
      <c r="C8" s="7">
        <f>('حقوق سالیانه'!C15/30)/7.33</f>
        <v>42158.447021373351</v>
      </c>
      <c r="F8" s="1"/>
      <c r="G8" s="7"/>
    </row>
    <row r="9" spans="1:7" ht="19.5" x14ac:dyDescent="0.5">
      <c r="A9" s="1">
        <v>7</v>
      </c>
      <c r="B9" s="1" t="s">
        <v>24</v>
      </c>
      <c r="C9" s="7">
        <f>('حقوق سالیانه'!C17/30)/7.33</f>
        <v>21079.223510686676</v>
      </c>
      <c r="F9" s="1"/>
      <c r="G9" s="7"/>
    </row>
    <row r="10" spans="1:7" ht="19.5" x14ac:dyDescent="0.5">
      <c r="A10" s="1">
        <v>8</v>
      </c>
      <c r="B10" s="1" t="s">
        <v>12</v>
      </c>
      <c r="C10" s="7">
        <f>'حقوق سالیانه'!C19</f>
        <v>354130.95497953612</v>
      </c>
      <c r="F10" s="1"/>
      <c r="G10" s="7"/>
    </row>
    <row r="11" spans="1:7" ht="19.5" x14ac:dyDescent="0.5">
      <c r="A11" s="1">
        <v>9</v>
      </c>
      <c r="B11" s="1" t="s">
        <v>32</v>
      </c>
      <c r="C11" s="7">
        <f>('حقوق سالیانه'!C25*2.5)/(30*7.33)</f>
        <v>28658.426178566013</v>
      </c>
      <c r="F11" s="1"/>
      <c r="G11" s="7"/>
    </row>
    <row r="12" spans="1:7" ht="19.5" x14ac:dyDescent="0.5">
      <c r="A12" s="1">
        <v>10</v>
      </c>
      <c r="B12" s="1" t="s">
        <v>33</v>
      </c>
      <c r="C12" s="7">
        <f>('حقوق سالیانه'!C26*2.5)/(30*7.33)</f>
        <v>30766.348529634677</v>
      </c>
      <c r="F12" s="1"/>
      <c r="G12" s="7"/>
    </row>
    <row r="13" spans="1:7" ht="19.5" x14ac:dyDescent="0.5">
      <c r="A13" s="1">
        <v>11</v>
      </c>
      <c r="B13" s="1" t="s">
        <v>34</v>
      </c>
      <c r="C13" s="7">
        <f>('حقوق سالیانه'!C27*2.5)/(30*7.33)</f>
        <v>32874.270880703349</v>
      </c>
      <c r="F13" s="1"/>
      <c r="G13" s="7"/>
    </row>
    <row r="14" spans="1:7" ht="19.5" x14ac:dyDescent="0.5">
      <c r="A14" s="1">
        <v>12</v>
      </c>
      <c r="B14" s="1" t="s">
        <v>35</v>
      </c>
      <c r="C14" s="7">
        <f>('حقوق سالیانه'!C28*2.5)/(30*7.33)</f>
        <v>34982.19323177202</v>
      </c>
      <c r="F14" s="1"/>
      <c r="G14" s="7"/>
    </row>
    <row r="15" spans="1:7" ht="19.5" x14ac:dyDescent="0.5">
      <c r="A15" s="1"/>
      <c r="B15" s="1"/>
      <c r="C15" s="7"/>
      <c r="F15" s="1"/>
      <c r="G15" s="7"/>
    </row>
    <row r="16" spans="1:7" ht="21" x14ac:dyDescent="0.55000000000000004">
      <c r="A16" s="1"/>
      <c r="B16" s="10" t="s">
        <v>25</v>
      </c>
      <c r="C16" s="7">
        <f>C2+C3+C4+C8+C9</f>
        <v>407138.78467485221</v>
      </c>
      <c r="F16" s="1"/>
      <c r="G16" s="7"/>
    </row>
    <row r="17" spans="1:7" ht="19.5" x14ac:dyDescent="0.5">
      <c r="A17" s="1"/>
      <c r="B17" s="1" t="s">
        <v>26</v>
      </c>
      <c r="C17" s="7">
        <f>C16*7.33</f>
        <v>2984327.291666667</v>
      </c>
      <c r="F17" s="1"/>
      <c r="G17" s="7"/>
    </row>
    <row r="18" spans="1:7" ht="19.5" x14ac:dyDescent="0.5">
      <c r="A18" s="1"/>
      <c r="B18" s="1"/>
      <c r="C18" s="7"/>
      <c r="F18" s="1"/>
      <c r="G18" s="7"/>
    </row>
    <row r="19" spans="1:7" ht="19.5" x14ac:dyDescent="0.5">
      <c r="A19" s="1"/>
      <c r="B19" s="1"/>
      <c r="C19" s="7"/>
    </row>
    <row r="20" spans="1:7" ht="19.5" x14ac:dyDescent="0.5">
      <c r="A20" s="1"/>
      <c r="B20" s="1"/>
      <c r="C20" s="7"/>
    </row>
    <row r="21" spans="1:7" ht="19.5" x14ac:dyDescent="0.5">
      <c r="A21" s="1"/>
      <c r="B21" s="1"/>
      <c r="C21" s="7"/>
    </row>
    <row r="22" spans="1:7" ht="19.5" x14ac:dyDescent="0.5">
      <c r="A22" s="1"/>
      <c r="B22" s="1"/>
      <c r="C22" s="7"/>
    </row>
    <row r="23" spans="1:7" ht="18" x14ac:dyDescent="0.45">
      <c r="A23" s="1"/>
      <c r="B23" s="1"/>
      <c r="C23" s="8"/>
    </row>
    <row r="24" spans="1:7" ht="18" x14ac:dyDescent="0.45">
      <c r="B24" s="1"/>
      <c r="C24" s="8"/>
    </row>
    <row r="25" spans="1:7" ht="18" x14ac:dyDescent="0.45">
      <c r="B25" s="1"/>
      <c r="C2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2019-02-15T15:42:10Z</dcterms:created>
  <dcterms:modified xsi:type="dcterms:W3CDTF">2023-04-14T15:22:20Z</dcterms:modified>
</cp:coreProperties>
</file>